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383A3FF-624C-4598-8D5A-1DCBB1B2A42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Лист1" sheetId="1" r:id="rId1"/>
    <sheet name="Лист1 (2)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52" i="2" l="1"/>
  <c r="A244" i="2"/>
  <c r="A217" i="2"/>
  <c r="A283" i="2" l="1"/>
  <c r="A282" i="2"/>
  <c r="A281" i="2"/>
  <c r="A280" i="2"/>
  <c r="A279" i="2"/>
  <c r="A278" i="2"/>
  <c r="A277" i="2"/>
  <c r="A276" i="2"/>
  <c r="A275" i="2"/>
  <c r="A274" i="2"/>
  <c r="A273" i="2"/>
  <c r="A272" i="2"/>
  <c r="A270" i="2"/>
  <c r="A269" i="2"/>
  <c r="A268" i="2"/>
  <c r="A267" i="2"/>
  <c r="A266" i="2"/>
  <c r="A264" i="2"/>
  <c r="A263" i="2"/>
  <c r="A262" i="2"/>
  <c r="A261" i="2"/>
  <c r="A260" i="2"/>
  <c r="A259" i="2"/>
  <c r="A257" i="2"/>
  <c r="A256" i="2"/>
  <c r="A255" i="2"/>
  <c r="A254" i="2"/>
  <c r="A251" i="2"/>
  <c r="A250" i="2"/>
  <c r="A249" i="2"/>
  <c r="A248" i="2"/>
  <c r="A247" i="2"/>
  <c r="A246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A180" i="2"/>
  <c r="A179" i="2"/>
  <c r="A178" i="2"/>
  <c r="A177" i="2"/>
  <c r="A176" i="2"/>
  <c r="A175" i="2"/>
  <c r="A174" i="2"/>
  <c r="A173" i="2"/>
  <c r="A172" i="2"/>
  <c r="A171" i="2"/>
  <c r="A170" i="2"/>
  <c r="A169" i="2"/>
  <c r="A168" i="2"/>
  <c r="A167" i="2"/>
  <c r="A166" i="2"/>
  <c r="A164" i="2"/>
  <c r="A163" i="2"/>
  <c r="A162" i="2"/>
  <c r="A161" i="2"/>
  <c r="A160" i="2"/>
  <c r="A158" i="2"/>
  <c r="A157" i="2"/>
  <c r="A155" i="2"/>
  <c r="A154" i="2"/>
  <c r="A153" i="2"/>
  <c r="A152" i="2"/>
  <c r="A151" i="2"/>
  <c r="A150" i="2"/>
  <c r="A149" i="2"/>
  <c r="A148" i="2"/>
  <c r="A147" i="2"/>
  <c r="A146" i="2"/>
  <c r="A145" i="2"/>
  <c r="A144" i="2"/>
  <c r="A143" i="2"/>
  <c r="A142" i="2"/>
  <c r="A141" i="2"/>
  <c r="A140" i="2"/>
  <c r="A139" i="2"/>
  <c r="A138" i="2"/>
  <c r="A137" i="2"/>
  <c r="A135" i="2"/>
  <c r="A134" i="2"/>
  <c r="A133" i="2"/>
  <c r="A132" i="2"/>
  <c r="A131" i="2"/>
  <c r="A130" i="2"/>
  <c r="A129" i="2"/>
  <c r="A128" i="2"/>
  <c r="A127" i="2"/>
  <c r="A126" i="2"/>
  <c r="A125" i="2"/>
  <c r="A123" i="2"/>
  <c r="A122" i="2"/>
  <c r="A121" i="2"/>
  <c r="A120" i="2"/>
  <c r="A119" i="2"/>
  <c r="A116" i="2"/>
  <c r="A115" i="2"/>
  <c r="A113" i="2"/>
  <c r="A112" i="2"/>
  <c r="A111" i="2"/>
  <c r="A109" i="2"/>
  <c r="A107" i="2"/>
  <c r="A106" i="2"/>
  <c r="A105" i="2"/>
  <c r="A104" i="2"/>
  <c r="A102" i="2"/>
  <c r="A101" i="2"/>
  <c r="A100" i="2"/>
  <c r="A99" i="2"/>
  <c r="A98" i="2"/>
  <c r="A97" i="2"/>
  <c r="A96" i="2"/>
  <c r="A95" i="2"/>
  <c r="A94" i="2"/>
  <c r="A92" i="2"/>
  <c r="A91" i="2"/>
  <c r="A90" i="2"/>
  <c r="A88" i="2"/>
  <c r="A87" i="2"/>
  <c r="A86" i="2"/>
  <c r="A85" i="2"/>
  <c r="A84" i="2"/>
  <c r="A83" i="2"/>
  <c r="A82" i="2"/>
  <c r="A81" i="2"/>
  <c r="A80" i="2"/>
  <c r="A79" i="2"/>
  <c r="A78" i="2"/>
  <c r="A76" i="2"/>
  <c r="A73" i="2"/>
  <c r="A72" i="2"/>
  <c r="A71" i="2"/>
  <c r="A70" i="2"/>
  <c r="A69" i="2"/>
  <c r="A68" i="2"/>
  <c r="A67" i="2"/>
  <c r="A66" i="2"/>
  <c r="A65" i="2"/>
  <c r="A63" i="2"/>
  <c r="A62" i="2"/>
  <c r="A60" i="2"/>
  <c r="A59" i="2"/>
  <c r="A58" i="2"/>
  <c r="A57" i="2"/>
  <c r="A56" i="2"/>
  <c r="A54" i="2"/>
  <c r="A53" i="2"/>
  <c r="A52" i="2"/>
  <c r="A50" i="2"/>
  <c r="A49" i="2"/>
  <c r="A48" i="2"/>
  <c r="A47" i="2"/>
  <c r="A46" i="2"/>
  <c r="A45" i="2"/>
  <c r="A44" i="2"/>
  <c r="A43" i="2"/>
  <c r="A41" i="2"/>
  <c r="A40" i="2"/>
  <c r="A39" i="2"/>
  <c r="A38" i="2"/>
  <c r="A37" i="2"/>
  <c r="A36" i="2"/>
  <c r="A35" i="2"/>
  <c r="A34" i="2"/>
  <c r="A33" i="2"/>
  <c r="A32" i="2"/>
  <c r="A30" i="2"/>
  <c r="A29" i="2"/>
  <c r="A28" i="2"/>
  <c r="A27" i="2"/>
  <c r="A26" i="2"/>
  <c r="A24" i="2"/>
  <c r="A23" i="2"/>
  <c r="A22" i="2"/>
  <c r="A21" i="2"/>
  <c r="A20" i="2"/>
  <c r="A19" i="2"/>
  <c r="A18" i="2"/>
  <c r="A17" i="2"/>
  <c r="A16" i="2"/>
  <c r="A15" i="2"/>
  <c r="A14" i="2"/>
  <c r="A12" i="2"/>
  <c r="A11" i="2"/>
  <c r="A10" i="2"/>
  <c r="A9" i="2"/>
  <c r="A8" i="2"/>
  <c r="A61" i="1"/>
  <c r="A4" i="1"/>
  <c r="A5" i="1"/>
  <c r="A6" i="1"/>
  <c r="A7" i="1"/>
  <c r="A8" i="1"/>
  <c r="A10" i="1"/>
  <c r="A11" i="1"/>
  <c r="A12" i="1"/>
  <c r="A13" i="1"/>
  <c r="A14" i="1"/>
  <c r="A15" i="1"/>
  <c r="A16" i="1"/>
  <c r="A17" i="1"/>
  <c r="A18" i="1"/>
  <c r="A19" i="1"/>
  <c r="A20" i="1"/>
  <c r="A22" i="1"/>
  <c r="A23" i="1"/>
  <c r="A24" i="1"/>
  <c r="A25" i="1"/>
  <c r="A26" i="1"/>
  <c r="A30" i="1"/>
  <c r="A31" i="1"/>
  <c r="A32" i="1"/>
  <c r="A33" i="1"/>
  <c r="A34" i="1"/>
  <c r="A35" i="1"/>
  <c r="A36" i="1"/>
  <c r="A37" i="1"/>
  <c r="A38" i="1"/>
  <c r="A39" i="1"/>
  <c r="A41" i="1"/>
  <c r="A42" i="1"/>
  <c r="A43" i="1"/>
  <c r="A44" i="1"/>
  <c r="A45" i="1"/>
  <c r="A46" i="1"/>
  <c r="A47" i="1"/>
  <c r="A48" i="1"/>
  <c r="A50" i="1"/>
  <c r="A51" i="1"/>
  <c r="A52" i="1"/>
  <c r="A54" i="1"/>
  <c r="A55" i="1"/>
  <c r="A56" i="1"/>
  <c r="A57" i="1"/>
  <c r="A58" i="1"/>
  <c r="A60" i="1"/>
  <c r="A63" i="1"/>
  <c r="A64" i="1"/>
  <c r="A65" i="1"/>
  <c r="A66" i="1"/>
  <c r="A67" i="1"/>
  <c r="A68" i="1"/>
  <c r="A69" i="1"/>
  <c r="A70" i="1"/>
  <c r="A71" i="1"/>
  <c r="A73" i="1"/>
  <c r="A75" i="1"/>
  <c r="A76" i="1"/>
  <c r="A77" i="1"/>
  <c r="A78" i="1"/>
  <c r="A79" i="1"/>
  <c r="A80" i="1"/>
  <c r="A81" i="1"/>
  <c r="A82" i="1"/>
  <c r="A83" i="1"/>
  <c r="A84" i="1"/>
  <c r="A85" i="1"/>
  <c r="A87" i="1"/>
  <c r="A88" i="1"/>
  <c r="A89" i="1"/>
  <c r="A91" i="1"/>
  <c r="A92" i="1"/>
  <c r="A93" i="1"/>
  <c r="A94" i="1"/>
  <c r="A95" i="1"/>
  <c r="A96" i="1"/>
  <c r="A97" i="1"/>
  <c r="A98" i="1"/>
  <c r="A99" i="1"/>
  <c r="A101" i="1"/>
  <c r="A102" i="1"/>
  <c r="A103" i="1"/>
  <c r="A104" i="1"/>
  <c r="A106" i="1"/>
  <c r="A108" i="1"/>
  <c r="A109" i="1"/>
  <c r="A110" i="1"/>
  <c r="A112" i="1"/>
  <c r="A113" i="1"/>
  <c r="A116" i="1"/>
  <c r="A117" i="1"/>
  <c r="A118" i="1"/>
  <c r="A119" i="1"/>
  <c r="A120" i="1"/>
  <c r="A122" i="1"/>
  <c r="A123" i="1"/>
  <c r="A124" i="1"/>
  <c r="A125" i="1"/>
  <c r="A126" i="1"/>
  <c r="A127" i="1"/>
  <c r="A128" i="1"/>
  <c r="A129" i="1"/>
  <c r="A130" i="1"/>
  <c r="A131" i="1"/>
  <c r="A132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4" i="1"/>
  <c r="A155" i="1"/>
  <c r="A157" i="1"/>
  <c r="A158" i="1"/>
  <c r="A159" i="1"/>
  <c r="A160" i="1"/>
  <c r="A161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</calcChain>
</file>

<file path=xl/sharedStrings.xml><?xml version="1.0" encoding="utf-8"?>
<sst xmlns="http://schemas.openxmlformats.org/spreadsheetml/2006/main" count="3198" uniqueCount="125">
  <si>
    <t>Laborator müayinələrin kataloqu</t>
  </si>
  <si>
    <t>Müayinənin adı</t>
  </si>
  <si>
    <t>Üsul</t>
  </si>
  <si>
    <t>Nümunə qabı</t>
  </si>
  <si>
    <t>Analiz qəbul vaxtı</t>
  </si>
  <si>
    <t>Nəticənin hazır olma vaxtı</t>
  </si>
  <si>
    <t>Daşıma şərtləri</t>
  </si>
  <si>
    <t>Uyğundur</t>
  </si>
  <si>
    <t>TROPONİN İ</t>
  </si>
  <si>
    <t>Fotometrik</t>
  </si>
  <si>
    <t xml:space="preserve">
Növbəti gün 14:00</t>
  </si>
  <si>
    <t>Nümunə Miqdarı (ən azı)</t>
  </si>
  <si>
    <t>Biokimyəvi - Qlükoza və karbohidrat metabolitləri</t>
  </si>
  <si>
    <t>Biokimyəvi müayinələr - Lipidlər</t>
  </si>
  <si>
    <t>Biokimyəvi müayinələr - Mikroelementlər</t>
  </si>
  <si>
    <t>Biokimyəvi müayinələr - Böyrək funksiyası müayinələri</t>
  </si>
  <si>
    <t>Biokimyəvi müayinələr - Öd piqmentləri</t>
  </si>
  <si>
    <t>Biokimyəvi müayinələr - Zülal və aminturşular</t>
  </si>
  <si>
    <t>Biokimyəvi müayinələr - Dəmir mübadiləsi / anemiyalar</t>
  </si>
  <si>
    <t>Hormonlar - Fertil</t>
  </si>
  <si>
    <t>Hormonlar - Hipofiz / böyrəküstü vəzi</t>
  </si>
  <si>
    <t>Hormonlar - Tiroid / Paratiroid</t>
  </si>
  <si>
    <t>Hormonlar -  Karbohidrat mübadiləsi / diabet</t>
  </si>
  <si>
    <t>Hormonlar - Prenatal skrininq</t>
  </si>
  <si>
    <t>Revma-faktor/ Kəskin faza zülalları / İltihab markerləri</t>
  </si>
  <si>
    <t>Autoimmun / Revmatoloji</t>
  </si>
  <si>
    <t>Vitaminlər</t>
  </si>
  <si>
    <t>Ürək markerləri</t>
  </si>
  <si>
    <t>Koaquloqram (Laxtalanma müayinələri)</t>
  </si>
  <si>
    <t>Virus hepatitləri</t>
  </si>
  <si>
    <t>TORCH / urogenital infeksiyaları - seroloji müayinələr</t>
  </si>
  <si>
    <t>Mədə-bağırsaq infeksiyaları - seroloji müayinələr</t>
  </si>
  <si>
    <t>Parazitar invaziyalar - seroloji müayinələr</t>
  </si>
  <si>
    <t>Mikrobioloji müayinələr</t>
  </si>
  <si>
    <t>Biokimyəvi müayinələr - Fermentlər</t>
  </si>
  <si>
    <t>Kolorimetrik</t>
  </si>
  <si>
    <t>EDTA qan</t>
  </si>
  <si>
    <t>Hər gün</t>
  </si>
  <si>
    <t>6 saat</t>
  </si>
  <si>
    <t>1 ml</t>
  </si>
  <si>
    <t>2-8 °C</t>
  </si>
  <si>
    <t>Sidik konteyneri steril</t>
  </si>
  <si>
    <t>4 saat</t>
  </si>
  <si>
    <t>10 ml</t>
  </si>
  <si>
    <t>Serum (Zərdab)</t>
  </si>
  <si>
    <t>500 mkl</t>
  </si>
  <si>
    <t>2 x 500 mkl</t>
  </si>
  <si>
    <t>18-24°C</t>
  </si>
  <si>
    <t>2 ml</t>
  </si>
  <si>
    <t>-</t>
  </si>
  <si>
    <t>10 ml (sutqalıq həcmi qeyd edilməli)</t>
  </si>
  <si>
    <t>10 mL</t>
  </si>
  <si>
    <t>ELISA</t>
  </si>
  <si>
    <t>EDTA plazma</t>
  </si>
  <si>
    <t>2-8 °С</t>
  </si>
  <si>
    <t>3 gün sonra 17:00</t>
  </si>
  <si>
    <t>1ml</t>
  </si>
  <si>
    <t>2 saat</t>
  </si>
  <si>
    <t>Sitrat plasma</t>
  </si>
  <si>
    <t>0,5 ml</t>
  </si>
  <si>
    <t>Immunoxrmatoqrafik</t>
  </si>
  <si>
    <t>17 ml</t>
  </si>
  <si>
    <t>18 ml</t>
  </si>
  <si>
    <t>8 ml</t>
  </si>
  <si>
    <t>9 ml</t>
  </si>
  <si>
    <t>Nəcis konteineri</t>
  </si>
  <si>
    <t>1-5 gr.</t>
  </si>
  <si>
    <t>Microbioloji</t>
  </si>
  <si>
    <t>Steril konteiner</t>
  </si>
  <si>
    <t>5 gün sonra 17:00</t>
  </si>
  <si>
    <t>2 saat 18-24°C, 24 saata qədər 2-8 °C</t>
  </si>
  <si>
    <t>5-10 ml</t>
  </si>
  <si>
    <t>2-8 °C,  2 saat</t>
  </si>
  <si>
    <t>Transport mühiti</t>
  </si>
  <si>
    <t>Petri kasası</t>
  </si>
  <si>
    <t>4 həftə sonra</t>
  </si>
  <si>
    <t>1saat 18-24°C, 24 saata qədər 2-8 °C</t>
  </si>
  <si>
    <t>0.5-1 mL</t>
  </si>
  <si>
    <t>2 gün sonra 17:00</t>
  </si>
  <si>
    <t>200 mkl</t>
  </si>
  <si>
    <t>2 saat 18-24°C, transport mühitdə 24 saata qədər 18-24°C</t>
  </si>
  <si>
    <t>20 ml</t>
  </si>
  <si>
    <t>200mkl</t>
  </si>
  <si>
    <t>15 dəq 18-24°C, transport mühitdə 24 saata qədər 18-24°C</t>
  </si>
  <si>
    <t>15 dəq 18-24°C, transport mühitdə 24 saata qədər 2-8°C</t>
  </si>
  <si>
    <t>5 ml</t>
  </si>
  <si>
    <t>10-50 ml</t>
  </si>
  <si>
    <t>Hemokultivasiya</t>
  </si>
  <si>
    <t>Qan hemokultiv.</t>
  </si>
  <si>
    <t>10 gün sonra 17:00</t>
  </si>
  <si>
    <t>Uşaqlarda 1-5 ml, böyüklərdə 8-10 ml</t>
  </si>
  <si>
    <t>10 saç</t>
  </si>
  <si>
    <t>30 - 60 ml</t>
  </si>
  <si>
    <t>3 saat 18-24°C, 24 saata qədər 2-8 °C</t>
  </si>
  <si>
    <t>Mikroskopik</t>
  </si>
  <si>
    <t>Əşya şüşəsi</t>
  </si>
  <si>
    <t>Sidik kont.,Serum(Zərdab)</t>
  </si>
  <si>
    <t>10 ml + 500 mkl</t>
  </si>
  <si>
    <t>Sid.strip/Mikros.</t>
  </si>
  <si>
    <t>Sid.strip analizator</t>
  </si>
  <si>
    <t>1 saat</t>
  </si>
  <si>
    <t>duru 30 dəq., yumuşaq 1 saata qədər, formalaşmış 8 saatdan gec olmayaraq 2-8 °C</t>
  </si>
  <si>
    <t>EÇS</t>
  </si>
  <si>
    <t>3 saat</t>
  </si>
  <si>
    <t>Fluoros.axarı sitometriya</t>
  </si>
  <si>
    <t>Gel-aqqlütinasiya</t>
  </si>
  <si>
    <t>Hər gün 17:00 qədər</t>
  </si>
  <si>
    <t>5 saat</t>
  </si>
  <si>
    <t>Həmin gün 15:00 
3 saat</t>
  </si>
  <si>
    <t>Urogenital yaxma</t>
  </si>
  <si>
    <t>Əsnəkdən sıyrıntının bakterioloji müayinəsi</t>
  </si>
  <si>
    <t>Dəri/saç/ dırnaqların müayinələri</t>
  </si>
  <si>
    <t>Sidiyin müayinələri</t>
  </si>
  <si>
    <t>Qurd yumurtaları/Nəcisin müayinələri</t>
  </si>
  <si>
    <t>Spermanın müayinələri</t>
  </si>
  <si>
    <t>Ümumi klinik müayinələr</t>
  </si>
  <si>
    <t>Qan qrupu/immunohematoloji müayinələr</t>
  </si>
  <si>
    <t>Hematoloji müayinələr</t>
  </si>
  <si>
    <t xml:space="preserve">AKTH </t>
  </si>
  <si>
    <t>Azərbaycan Respublikası Dövlət Təhlükəsizliyi Xidmətinin Hərbi-tibb baş idarəsi
MƏRKƏZİ LABORATORİYA                                                                                                                                                                                                                                                                                                                                                                ANALİZLƏRİN SİYAHISI</t>
  </si>
  <si>
    <t xml:space="preserve">Sənəd Kodu </t>
  </si>
  <si>
    <t>PR.08-FR.01</t>
  </si>
  <si>
    <t xml:space="preserve">Qüvvəyə minmə tarixi </t>
  </si>
  <si>
    <t xml:space="preserve">Rev. No / Tarixi </t>
  </si>
  <si>
    <t>00/00.00.0000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</si>
</sst>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  <font>
      <sz val="26"/>
      <color rgb="FF000000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14"/>
      <color rgb="FF002060"/>
      <name val="Calibri"/>
      <family val="2"/>
      <charset val="204"/>
      <scheme val="minor"/>
    </font>
    <font>
      <b/>
      <sz val="16"/>
      <color rgb="FFFFFF00"/>
      <name val="Aptos"/>
      <family val="2"/>
    </font>
    <font>
      <b/>
      <sz val="14"/>
      <color theme="3" tint="-0.249977111117893"/>
      <name val="Calibri"/>
      <family val="2"/>
      <charset val="204"/>
      <scheme val="minor"/>
    </font>
    <font>
      <b/>
      <sz val="14"/>
      <color theme="3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rgb="FF002060"/>
      <name val="Calibri"/>
      <family val="2"/>
      <scheme val="minor"/>
    </font>
    <font>
      <sz val="12"/>
      <name val="Times New Roman"/>
      <family val="1"/>
      <charset val="204"/>
    </font>
    <font>
      <sz val="8"/>
      <name val="Calibri"/>
      <family val="2"/>
      <scheme val="minor"/>
    </font>
    <font>
      <b/>
      <sz val="28"/>
      <color theme="1"/>
      <name val="Aptos"/>
      <family val="2"/>
    </font>
    <font>
      <sz val="28"/>
      <color rgb="FF000000"/>
      <name val="Aptos"/>
      <family val="2"/>
    </font>
    <font>
      <b/>
      <sz val="14"/>
      <name val="Times New Roman"/>
      <family val="1"/>
      <charset val="204"/>
    </font>
    <font>
      <b/>
      <sz val="1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theme="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3" fillId="0" borderId="5" xfId="0" applyFont="1" applyBorder="1"/>
    <xf numFmtId="0" fontId="3" fillId="0" borderId="8" xfId="0" applyFont="1" applyBorder="1" applyAlignment="1">
      <alignment wrapText="1"/>
    </xf>
    <xf numFmtId="0" fontId="3" fillId="0" borderId="6" xfId="0" applyFont="1" applyBorder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3" fillId="0" borderId="5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0" fillId="0" borderId="0" xfId="0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7" xfId="0" applyFont="1" applyBorder="1" applyAlignment="1">
      <alignment wrapText="1"/>
    </xf>
    <xf numFmtId="0" fontId="6" fillId="0" borderId="3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3" fillId="0" borderId="3" xfId="0" applyFont="1" applyBorder="1"/>
    <xf numFmtId="0" fontId="4" fillId="0" borderId="3" xfId="0" applyFont="1" applyBorder="1"/>
    <xf numFmtId="0" fontId="3" fillId="0" borderId="3" xfId="0" applyFont="1" applyBorder="1" applyAlignment="1">
      <alignment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9" fillId="2" borderId="0" xfId="0" applyFont="1" applyFill="1" applyAlignment="1">
      <alignment horizontal="center" vertic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vertical="center"/>
    </xf>
    <xf numFmtId="0" fontId="3" fillId="5" borderId="12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/>
    </xf>
    <xf numFmtId="0" fontId="3" fillId="4" borderId="12" xfId="0" applyFont="1" applyFill="1" applyBorder="1"/>
    <xf numFmtId="0" fontId="4" fillId="5" borderId="12" xfId="0" applyFont="1" applyFill="1" applyBorder="1"/>
    <xf numFmtId="0" fontId="4" fillId="4" borderId="12" xfId="0" applyFont="1" applyFill="1" applyBorder="1"/>
    <xf numFmtId="0" fontId="3" fillId="4" borderId="12" xfId="0" applyFont="1" applyFill="1" applyBorder="1" applyAlignment="1">
      <alignment horizontal="center" wrapText="1"/>
    </xf>
    <xf numFmtId="0" fontId="3" fillId="5" borderId="12" xfId="0" applyFont="1" applyFill="1" applyBorder="1" applyAlignment="1">
      <alignment horizontal="center" wrapText="1"/>
    </xf>
    <xf numFmtId="0" fontId="3" fillId="5" borderId="12" xfId="0" applyFont="1" applyFill="1" applyBorder="1" applyAlignment="1">
      <alignment horizontal="center"/>
    </xf>
    <xf numFmtId="0" fontId="3" fillId="4" borderId="4" xfId="0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2" fillId="5" borderId="12" xfId="0" applyFont="1" applyFill="1" applyBorder="1" applyAlignment="1">
      <alignment horizontal="center" vertical="center"/>
    </xf>
    <xf numFmtId="0" fontId="13" fillId="4" borderId="12" xfId="0" applyFont="1" applyFill="1" applyBorder="1" applyAlignment="1">
      <alignment vertical="center"/>
    </xf>
    <xf numFmtId="0" fontId="13" fillId="5" borderId="12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vertical="center"/>
    </xf>
    <xf numFmtId="0" fontId="14" fillId="5" borderId="12" xfId="0" applyFont="1" applyFill="1" applyBorder="1" applyAlignment="1">
      <alignment horizontal="center" vertical="center"/>
    </xf>
    <xf numFmtId="0" fontId="15" fillId="5" borderId="12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6" fillId="0" borderId="9" xfId="0" applyFont="1" applyBorder="1" applyAlignment="1">
      <alignment horizontal="center" wrapText="1"/>
    </xf>
    <xf numFmtId="0" fontId="16" fillId="0" borderId="17" xfId="0" applyFont="1" applyBorder="1" applyAlignment="1">
      <alignment horizontal="center" wrapText="1"/>
    </xf>
    <xf numFmtId="0" fontId="16" fillId="0" borderId="18" xfId="0" applyFont="1" applyBorder="1" applyAlignment="1">
      <alignment horizontal="center" wrapText="1"/>
    </xf>
    <xf numFmtId="0" fontId="18" fillId="6" borderId="0" xfId="0" applyFont="1" applyFill="1" applyAlignment="1">
      <alignment horizontal="center" vertical="center"/>
    </xf>
    <xf numFmtId="0" fontId="19" fillId="6" borderId="0" xfId="0" applyFont="1" applyFill="1" applyAlignment="1">
      <alignment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14" fontId="20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04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color theme="1"/>
        <name val="Calibri"/>
        <family val="2"/>
        <charset val="204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charset val="204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8.png@01D90A70.0CB31C6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818030</xdr:colOff>
      <xdr:row>0</xdr:row>
      <xdr:rowOff>1</xdr:rowOff>
    </xdr:from>
    <xdr:to>
      <xdr:col>0</xdr:col>
      <xdr:colOff>3235193</xdr:colOff>
      <xdr:row>3</xdr:row>
      <xdr:rowOff>941295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7709205A-86D7-44D7-A2AB-353A1F4E1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030" y="1"/>
          <a:ext cx="2417163" cy="2286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4E57E44-C8C5-4803-A4A4-6CABC4C36796}" name="Таблица1" displayName="Таблица1" ref="A2:G273" totalsRowShown="0" headerRowDxfId="8" dataDxfId="7">
  <autoFilter ref="A2:G273" xr:uid="{04E57E44-C8C5-4803-A4A4-6CABC4C36796}"/>
  <tableColumns count="7">
    <tableColumn id="1" xr3:uid="{05E13088-3F7D-46EA-A030-9E0FA2ECA5B7}" name="Müayinənin adı" dataDxfId="6"/>
    <tableColumn id="2" xr3:uid="{C2875C99-689D-4AC3-8B65-42DFCAB2CF7C}" name="Üsul" dataDxfId="5">
      <calculatedColumnFormula>IFERROR(__xludf.DUMMYFUNCTION("""COMPUTED_VALUE"""),"Mikroskopik")</calculatedColumnFormula>
    </tableColumn>
    <tableColumn id="3" xr3:uid="{C901FFE6-E7F9-4F3B-A54B-D0C9143E9843}" name="Nümunə qabı" dataDxfId="4"/>
    <tableColumn id="4" xr3:uid="{5014FA11-8450-4FAE-9855-4BF890008598}" name="Analiz qəbul vaxtı" dataDxfId="3"/>
    <tableColumn id="5" xr3:uid="{5DA2ADDB-9002-40AA-BCF3-33795E07E87E}" name="Nəticənin hazır olma vaxtı" dataDxfId="2"/>
    <tableColumn id="6" xr3:uid="{A7339AFD-61B4-4DA1-B5A8-4653EB8E4F14}" name="Nümunə Miqdarı (ən azı)" dataDxfId="1">
      <calculatedColumnFormula>IFERROR(__xludf.DUMMYFUNCTION("""COMPUTED_VALUE"""),"-")</calculatedColumnFormula>
    </tableColumn>
    <tableColumn id="7" xr3:uid="{855306C2-C579-4CCF-91DB-EE832404EEF2}" name="Daşıma şərtləri" dataDxfId="0">
      <calculatedColumnFormula>IFERROR(__xludf.DUMMYFUNCTION("""COMPUTED_VALUE"""),"-")</calculatedColumnFormula>
    </tableColumn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67"/>
  <sheetViews>
    <sheetView topLeftCell="A5" zoomScale="115" zoomScaleNormal="115" workbookViewId="0">
      <selection activeCell="A40" sqref="A40:G40"/>
    </sheetView>
  </sheetViews>
  <sheetFormatPr defaultColWidth="12.5703125" defaultRowHeight="15.75" customHeight="1"/>
  <cols>
    <col min="1" max="1" width="63.42578125" bestFit="1" customWidth="1"/>
    <col min="2" max="2" width="21.140625" style="17" bestFit="1" customWidth="1"/>
    <col min="3" max="3" width="21.42578125" bestFit="1" customWidth="1"/>
    <col min="4" max="4" width="17.42578125" customWidth="1"/>
    <col min="5" max="5" width="24.28515625" customWidth="1"/>
    <col min="6" max="6" width="17.85546875" customWidth="1"/>
    <col min="7" max="7" width="34.28515625" style="11" customWidth="1"/>
    <col min="8" max="8" width="27.28515625" customWidth="1"/>
    <col min="9" max="9" width="25.7109375" customWidth="1"/>
  </cols>
  <sheetData>
    <row r="1" spans="1:8" ht="45.75" customHeight="1">
      <c r="A1" s="73" t="s">
        <v>0</v>
      </c>
      <c r="B1" s="74"/>
      <c r="C1" s="74"/>
      <c r="D1" s="74"/>
      <c r="E1" s="74"/>
      <c r="F1" s="74"/>
      <c r="G1" s="74"/>
      <c r="H1" s="1"/>
    </row>
    <row r="2" spans="1:8" s="13" customFormat="1" ht="40.5" customHeight="1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8" t="s">
        <v>11</v>
      </c>
      <c r="G2" s="18" t="s">
        <v>6</v>
      </c>
    </row>
    <row r="3" spans="1:8" ht="20.100000000000001" customHeight="1">
      <c r="A3" s="23" t="s">
        <v>12</v>
      </c>
      <c r="B3" s="23"/>
      <c r="C3" s="23"/>
      <c r="D3" s="23"/>
      <c r="E3" s="23"/>
      <c r="F3" s="23"/>
      <c r="G3" s="23"/>
    </row>
    <row r="4" spans="1:8" ht="20.100000000000001" customHeight="1">
      <c r="A4" s="24" t="str">
        <f ca="1">IFERROR(__xludf.DUMMYFUNCTION("""COMPUTED_VALUE"""),"Qlikohemoqlobin (HbA1C)")</f>
        <v>Qlikohemoqlobin (HbA1C)</v>
      </c>
      <c r="B4" s="25" t="s">
        <v>35</v>
      </c>
      <c r="C4" s="24" t="s">
        <v>36</v>
      </c>
      <c r="D4" s="25" t="s">
        <v>37</v>
      </c>
      <c r="E4" s="25" t="s">
        <v>38</v>
      </c>
      <c r="F4" s="26" t="s">
        <v>39</v>
      </c>
      <c r="G4" s="26" t="s">
        <v>40</v>
      </c>
    </row>
    <row r="5" spans="1:8" ht="20.100000000000001" customHeight="1">
      <c r="A5" s="24" t="str">
        <f ca="1">IFERROR(__xludf.DUMMYFUNCTION("""COMPUTED_VALUE"""),"Qlükoza sidikdə (birdəfəlik)")</f>
        <v>Qlükoza sidikdə (birdəfəlik)</v>
      </c>
      <c r="B5" s="25" t="s">
        <v>35</v>
      </c>
      <c r="C5" s="24" t="s">
        <v>41</v>
      </c>
      <c r="D5" s="25" t="s">
        <v>37</v>
      </c>
      <c r="E5" s="25" t="s">
        <v>42</v>
      </c>
      <c r="F5" s="26" t="s">
        <v>43</v>
      </c>
      <c r="G5" s="26" t="s">
        <v>40</v>
      </c>
    </row>
    <row r="6" spans="1:8" ht="20.100000000000001" customHeight="1">
      <c r="A6" s="24" t="str">
        <f ca="1">IFERROR(__xludf.DUMMYFUNCTION("""COMPUTED_VALUE"""),"Qlükoza sidikdə (sutkalıq)")</f>
        <v>Qlükoza sidikdə (sutkalıq)</v>
      </c>
      <c r="B6" s="25" t="s">
        <v>35</v>
      </c>
      <c r="C6" s="24" t="s">
        <v>41</v>
      </c>
      <c r="D6" s="25" t="s">
        <v>37</v>
      </c>
      <c r="E6" s="25" t="s">
        <v>42</v>
      </c>
      <c r="F6" s="26" t="s">
        <v>43</v>
      </c>
      <c r="G6" s="26" t="s">
        <v>40</v>
      </c>
    </row>
    <row r="7" spans="1:8" ht="20.100000000000001" customHeight="1">
      <c r="A7" s="24" t="str">
        <f ca="1">IFERROR(__xludf.DUMMYFUNCTION("""COMPUTED_VALUE"""),"Qlükoza(qanda)")</f>
        <v>Qlükoza(qanda)</v>
      </c>
      <c r="B7" s="25" t="s">
        <v>35</v>
      </c>
      <c r="C7" s="24" t="s">
        <v>44</v>
      </c>
      <c r="D7" s="25" t="s">
        <v>37</v>
      </c>
      <c r="E7" s="25" t="s">
        <v>42</v>
      </c>
      <c r="F7" s="26" t="s">
        <v>45</v>
      </c>
      <c r="G7" s="26" t="s">
        <v>40</v>
      </c>
    </row>
    <row r="8" spans="1:8" ht="20.100000000000001" customHeight="1">
      <c r="A8" s="24" t="str">
        <f ca="1">IFERROR(__xludf.DUMMYFUNCTION("""COMPUTED_VALUE"""),"Şəkər yüklənməsi (hamilə)")</f>
        <v>Şəkər yüklənməsi (hamilə)</v>
      </c>
      <c r="B8" s="25" t="s">
        <v>35</v>
      </c>
      <c r="C8" s="24" t="s">
        <v>44</v>
      </c>
      <c r="D8" s="25" t="s">
        <v>37</v>
      </c>
      <c r="E8" s="25" t="s">
        <v>42</v>
      </c>
      <c r="F8" s="26" t="s">
        <v>46</v>
      </c>
      <c r="G8" s="26" t="s">
        <v>40</v>
      </c>
    </row>
    <row r="9" spans="1:8" ht="20.100000000000001" customHeight="1">
      <c r="A9" s="27" t="s">
        <v>34</v>
      </c>
      <c r="B9" s="27"/>
      <c r="C9" s="27"/>
      <c r="D9" s="27"/>
      <c r="E9" s="27"/>
      <c r="F9" s="27"/>
      <c r="G9" s="27"/>
    </row>
    <row r="10" spans="1:8" ht="20.100000000000001" customHeight="1">
      <c r="A10" s="24" t="str">
        <f ca="1">IFERROR(__xludf.DUMMYFUNCTION("""COMPUTED_VALUE"""),"Alaninaminotransferaza (ALT)")</f>
        <v>Alaninaminotransferaza (ALT)</v>
      </c>
      <c r="B10" s="25" t="s">
        <v>35</v>
      </c>
      <c r="C10" s="24" t="s">
        <v>44</v>
      </c>
      <c r="D10" s="25" t="s">
        <v>37</v>
      </c>
      <c r="E10" s="25" t="s">
        <v>42</v>
      </c>
      <c r="F10" s="26" t="s">
        <v>45</v>
      </c>
      <c r="G10" s="26" t="s">
        <v>40</v>
      </c>
    </row>
    <row r="11" spans="1:8" ht="20.100000000000001" customHeight="1">
      <c r="A11" s="24" t="str">
        <f ca="1">IFERROR(__xludf.DUMMYFUNCTION("""COMPUTED_VALUE"""),"Amilaza qanda")</f>
        <v>Amilaza qanda</v>
      </c>
      <c r="B11" s="25" t="s">
        <v>35</v>
      </c>
      <c r="C11" s="24" t="s">
        <v>44</v>
      </c>
      <c r="D11" s="25" t="s">
        <v>37</v>
      </c>
      <c r="E11" s="25" t="s">
        <v>42</v>
      </c>
      <c r="F11" s="26" t="s">
        <v>45</v>
      </c>
      <c r="G11" s="26" t="s">
        <v>40</v>
      </c>
    </row>
    <row r="12" spans="1:8" ht="20.100000000000001" customHeight="1">
      <c r="A12" s="24" t="str">
        <f ca="1">IFERROR(__xludf.DUMMYFUNCTION("""COMPUTED_VALUE"""),"Aspartataminotransferaza (AST)")</f>
        <v>Aspartataminotransferaza (AST)</v>
      </c>
      <c r="B12" s="25" t="s">
        <v>35</v>
      </c>
      <c r="C12" s="24" t="s">
        <v>44</v>
      </c>
      <c r="D12" s="25" t="s">
        <v>37</v>
      </c>
      <c r="E12" s="25" t="s">
        <v>42</v>
      </c>
      <c r="F12" s="26" t="s">
        <v>45</v>
      </c>
      <c r="G12" s="26" t="s">
        <v>40</v>
      </c>
    </row>
    <row r="13" spans="1:8" ht="20.100000000000001" customHeight="1">
      <c r="A13" s="24" t="str">
        <f ca="1">IFERROR(__xludf.DUMMYFUNCTION("""COMPUTED_VALUE"""),"Diastaza sidikdə(təzə yığılmış)")</f>
        <v>Diastaza sidikdə(təzə yığılmış)</v>
      </c>
      <c r="B13" s="25" t="s">
        <v>35</v>
      </c>
      <c r="C13" s="24" t="s">
        <v>41</v>
      </c>
      <c r="D13" s="25" t="s">
        <v>37</v>
      </c>
      <c r="E13" s="25" t="s">
        <v>42</v>
      </c>
      <c r="F13" s="26" t="s">
        <v>45</v>
      </c>
      <c r="G13" s="26" t="s">
        <v>47</v>
      </c>
    </row>
    <row r="14" spans="1:8" ht="20.100000000000001" customHeight="1">
      <c r="A14" s="24" t="str">
        <f ca="1">IFERROR(__xludf.DUMMYFUNCTION("""COMPUTED_VALUE"""),"PANKREATİK AMİLAZA")</f>
        <v>PANKREATİK AMİLAZA</v>
      </c>
      <c r="B14" s="25" t="s">
        <v>35</v>
      </c>
      <c r="C14" s="24" t="s">
        <v>44</v>
      </c>
      <c r="D14" s="25" t="s">
        <v>37</v>
      </c>
      <c r="E14" s="25" t="s">
        <v>42</v>
      </c>
      <c r="F14" s="26" t="s">
        <v>48</v>
      </c>
      <c r="G14" s="26" t="s">
        <v>40</v>
      </c>
    </row>
    <row r="15" spans="1:8" ht="20.100000000000001" customHeight="1">
      <c r="A15" s="24" t="str">
        <f ca="1">IFERROR(__xludf.DUMMYFUNCTION("""COMPUTED_VALUE"""),"Kreatinkinaza CK-MB frak.")</f>
        <v>Kreatinkinaza CK-MB frak.</v>
      </c>
      <c r="B15" s="25" t="s">
        <v>35</v>
      </c>
      <c r="C15" s="24" t="s">
        <v>44</v>
      </c>
      <c r="D15" s="25" t="s">
        <v>37</v>
      </c>
      <c r="E15" s="25" t="s">
        <v>42</v>
      </c>
      <c r="F15" s="26" t="s">
        <v>45</v>
      </c>
      <c r="G15" s="26" t="s">
        <v>40</v>
      </c>
    </row>
    <row r="16" spans="1:8" ht="20.100000000000001" customHeight="1">
      <c r="A16" s="24" t="str">
        <f ca="1">IFERROR(__xludf.DUMMYFUNCTION("""COMPUTED_VALUE"""),"Laktatdehidrogenaza (LDH)")</f>
        <v>Laktatdehidrogenaza (LDH)</v>
      </c>
      <c r="B16" s="25" t="s">
        <v>35</v>
      </c>
      <c r="C16" s="24" t="s">
        <v>44</v>
      </c>
      <c r="D16" s="25" t="s">
        <v>37</v>
      </c>
      <c r="E16" s="25" t="s">
        <v>42</v>
      </c>
      <c r="F16" s="26" t="s">
        <v>45</v>
      </c>
      <c r="G16" s="26" t="s">
        <v>40</v>
      </c>
    </row>
    <row r="17" spans="1:7" ht="20.100000000000001" customHeight="1">
      <c r="A17" s="24" t="str">
        <f ca="1">IFERROR(__xludf.DUMMYFUNCTION("""COMPUTED_VALUE"""),"Lipaza")</f>
        <v>Lipaza</v>
      </c>
      <c r="B17" s="25" t="s">
        <v>35</v>
      </c>
      <c r="C17" s="24" t="s">
        <v>44</v>
      </c>
      <c r="D17" s="25" t="s">
        <v>37</v>
      </c>
      <c r="E17" s="25" t="s">
        <v>42</v>
      </c>
      <c r="F17" s="26" t="s">
        <v>45</v>
      </c>
      <c r="G17" s="26" t="s">
        <v>40</v>
      </c>
    </row>
    <row r="18" spans="1:7" ht="20.100000000000001" customHeight="1">
      <c r="A18" s="24" t="str">
        <f ca="1">IFERROR(__xludf.DUMMYFUNCTION("""COMPUTED_VALUE"""),"Qammaqlütamiltransferaza (QQT)")</f>
        <v>Qammaqlütamiltransferaza (QQT)</v>
      </c>
      <c r="B18" s="25" t="s">
        <v>35</v>
      </c>
      <c r="C18" s="24" t="s">
        <v>44</v>
      </c>
      <c r="D18" s="25" t="s">
        <v>37</v>
      </c>
      <c r="E18" s="25" t="s">
        <v>42</v>
      </c>
      <c r="F18" s="26" t="s">
        <v>45</v>
      </c>
      <c r="G18" s="26" t="s">
        <v>40</v>
      </c>
    </row>
    <row r="19" spans="1:7" ht="20.100000000000001" customHeight="1">
      <c r="A19" s="24" t="str">
        <f ca="1">IFERROR(__xludf.DUMMYFUNCTION("""COMPUTED_VALUE"""),"Qələvi fosfataza-(ALP)")</f>
        <v>Qələvi fosfataza-(ALP)</v>
      </c>
      <c r="B19" s="25" t="s">
        <v>35</v>
      </c>
      <c r="C19" s="24" t="s">
        <v>44</v>
      </c>
      <c r="D19" s="25" t="s">
        <v>37</v>
      </c>
      <c r="E19" s="25" t="s">
        <v>42</v>
      </c>
      <c r="F19" s="26" t="s">
        <v>45</v>
      </c>
      <c r="G19" s="26" t="s">
        <v>40</v>
      </c>
    </row>
    <row r="20" spans="1:7" ht="20.100000000000001" customHeight="1">
      <c r="A20" s="24" t="str">
        <f ca="1">IFERROR(__xludf.DUMMYFUNCTION("""COMPUTED_VALUE"""),"Xolinesteraza")</f>
        <v>Xolinesteraza</v>
      </c>
      <c r="B20" s="25" t="s">
        <v>35</v>
      </c>
      <c r="C20" s="24" t="s">
        <v>44</v>
      </c>
      <c r="D20" s="25" t="s">
        <v>37</v>
      </c>
      <c r="E20" s="25" t="s">
        <v>42</v>
      </c>
      <c r="F20" s="26" t="s">
        <v>45</v>
      </c>
      <c r="G20" s="26" t="s">
        <v>40</v>
      </c>
    </row>
    <row r="21" spans="1:7" ht="20.100000000000001" customHeight="1">
      <c r="A21" s="28" t="s">
        <v>13</v>
      </c>
      <c r="B21" s="25"/>
      <c r="C21" s="24"/>
      <c r="D21" s="25"/>
      <c r="E21" s="25"/>
      <c r="F21" s="26"/>
      <c r="G21" s="26"/>
    </row>
    <row r="22" spans="1:7" ht="20.100000000000001" customHeight="1">
      <c r="A22" s="24" t="str">
        <f ca="1">IFERROR(__xludf.DUMMYFUNCTION("""COMPUTED_VALUE"""),"Aşağı sıxlıqlı lipoproteidlər (LDL)")</f>
        <v>Aşağı sıxlıqlı lipoproteidlər (LDL)</v>
      </c>
      <c r="B22" s="25" t="s">
        <v>35</v>
      </c>
      <c r="C22" s="24" t="s">
        <v>44</v>
      </c>
      <c r="D22" s="25" t="s">
        <v>37</v>
      </c>
      <c r="E22" s="25" t="s">
        <v>42</v>
      </c>
      <c r="F22" s="26" t="s">
        <v>45</v>
      </c>
      <c r="G22" s="26" t="s">
        <v>40</v>
      </c>
    </row>
    <row r="23" spans="1:7" ht="20.100000000000001" customHeight="1">
      <c r="A23" s="24" t="str">
        <f ca="1">IFERROR(__xludf.DUMMYFUNCTION("""COMPUTED_VALUE"""),"Triqliseridlər")</f>
        <v>Triqliseridlər</v>
      </c>
      <c r="B23" s="25" t="s">
        <v>35</v>
      </c>
      <c r="C23" s="24" t="s">
        <v>44</v>
      </c>
      <c r="D23" s="25" t="s">
        <v>37</v>
      </c>
      <c r="E23" s="25" t="s">
        <v>42</v>
      </c>
      <c r="F23" s="26" t="s">
        <v>45</v>
      </c>
      <c r="G23" s="26" t="s">
        <v>40</v>
      </c>
    </row>
    <row r="24" spans="1:7" ht="20.100000000000001" customHeight="1">
      <c r="A24" s="24" t="str">
        <f ca="1">IFERROR(__xludf.DUMMYFUNCTION("""COMPUTED_VALUE"""),"Xolesterin")</f>
        <v>Xolesterin</v>
      </c>
      <c r="B24" s="25" t="s">
        <v>35</v>
      </c>
      <c r="C24" s="24" t="s">
        <v>44</v>
      </c>
      <c r="D24" s="25" t="s">
        <v>37</v>
      </c>
      <c r="E24" s="25" t="s">
        <v>42</v>
      </c>
      <c r="F24" s="26" t="s">
        <v>45</v>
      </c>
      <c r="G24" s="26" t="s">
        <v>40</v>
      </c>
    </row>
    <row r="25" spans="1:7" ht="20.100000000000001" customHeight="1">
      <c r="A25" s="24" t="str">
        <f ca="1">IFERROR(__xludf.DUMMYFUNCTION("""COMPUTED_VALUE"""),"Yüksək sıxlıqlı lipoproteidlər (HDL)")</f>
        <v>Yüksək sıxlıqlı lipoproteidlər (HDL)</v>
      </c>
      <c r="B25" s="25" t="s">
        <v>35</v>
      </c>
      <c r="C25" s="24" t="s">
        <v>44</v>
      </c>
      <c r="D25" s="25" t="s">
        <v>37</v>
      </c>
      <c r="E25" s="25" t="s">
        <v>42</v>
      </c>
      <c r="F25" s="26" t="s">
        <v>45</v>
      </c>
      <c r="G25" s="26" t="s">
        <v>40</v>
      </c>
    </row>
    <row r="26" spans="1:7" ht="20.100000000000001" customHeight="1">
      <c r="A26" s="24" t="str">
        <f ca="1">IFERROR(__xludf.DUMMYFUNCTION("""COMPUTED_VALUE"""),"Çok Aşağı Sıxlıklı Lipoproteidler(VLDL)")</f>
        <v>Çok Aşağı Sıxlıklı Lipoproteidler(VLDL)</v>
      </c>
      <c r="B26" s="25" t="s">
        <v>35</v>
      </c>
      <c r="C26" s="24" t="s">
        <v>44</v>
      </c>
      <c r="D26" s="25" t="s">
        <v>37</v>
      </c>
      <c r="E26" s="25" t="s">
        <v>42</v>
      </c>
      <c r="F26" s="26" t="s">
        <v>49</v>
      </c>
      <c r="G26" s="26" t="s">
        <v>49</v>
      </c>
    </row>
    <row r="27" spans="1:7" ht="20.100000000000001" customHeight="1">
      <c r="A27" s="24"/>
      <c r="B27" s="25"/>
      <c r="C27" s="24"/>
      <c r="D27" s="25"/>
      <c r="E27" s="25"/>
      <c r="F27" s="26"/>
      <c r="G27" s="26"/>
    </row>
    <row r="28" spans="1:7" ht="20.100000000000001" customHeight="1">
      <c r="A28" s="28" t="s">
        <v>14</v>
      </c>
      <c r="B28" s="25"/>
      <c r="C28" s="24"/>
      <c r="D28" s="25"/>
      <c r="E28" s="25"/>
      <c r="F28" s="26"/>
      <c r="G28" s="26"/>
    </row>
    <row r="29" spans="1:7" ht="20.100000000000001" customHeight="1">
      <c r="A29" s="24"/>
      <c r="B29" s="25"/>
      <c r="C29" s="24"/>
      <c r="D29" s="25"/>
      <c r="E29" s="25"/>
      <c r="F29" s="26"/>
      <c r="G29" s="26"/>
    </row>
    <row r="30" spans="1:7" ht="20.100000000000001" customHeight="1">
      <c r="A30" s="24" t="str">
        <f ca="1">IFERROR(__xludf.DUMMYFUNCTION("""COMPUTED_VALUE"""),"Dəmir (Fe) qan")</f>
        <v>Dəmir (Fe) qan</v>
      </c>
      <c r="B30" s="25" t="s">
        <v>35</v>
      </c>
      <c r="C30" s="24" t="s">
        <v>44</v>
      </c>
      <c r="D30" s="25" t="s">
        <v>37</v>
      </c>
      <c r="E30" s="25" t="s">
        <v>42</v>
      </c>
      <c r="F30" s="26" t="s">
        <v>45</v>
      </c>
      <c r="G30" s="26" t="s">
        <v>40</v>
      </c>
    </row>
    <row r="31" spans="1:7" ht="20.100000000000001" customHeight="1">
      <c r="A31" s="24" t="str">
        <f ca="1">IFERROR(__xludf.DUMMYFUNCTION("""COMPUTED_VALUE"""),"Dəmir bağlayıcı xüsusiyyət TİBC")</f>
        <v>Dəmir bağlayıcı xüsusiyyət TİBC</v>
      </c>
      <c r="B31" s="25" t="s">
        <v>35</v>
      </c>
      <c r="C31" s="24" t="s">
        <v>44</v>
      </c>
      <c r="D31" s="25" t="s">
        <v>37</v>
      </c>
      <c r="E31" s="25" t="s">
        <v>42</v>
      </c>
      <c r="F31" s="26" t="s">
        <v>45</v>
      </c>
      <c r="G31" s="26" t="s">
        <v>40</v>
      </c>
    </row>
    <row r="32" spans="1:7" ht="20.100000000000001" customHeight="1">
      <c r="A32" s="24" t="str">
        <f ca="1">IFERROR(__xludf.DUMMYFUNCTION("""COMPUTED_VALUE"""),"Fosfor (P) qan")</f>
        <v>Fosfor (P) qan</v>
      </c>
      <c r="B32" s="25" t="s">
        <v>35</v>
      </c>
      <c r="C32" s="24" t="s">
        <v>44</v>
      </c>
      <c r="D32" s="25" t="s">
        <v>37</v>
      </c>
      <c r="E32" s="25" t="s">
        <v>42</v>
      </c>
      <c r="F32" s="26" t="s">
        <v>45</v>
      </c>
      <c r="G32" s="26" t="s">
        <v>40</v>
      </c>
    </row>
    <row r="33" spans="1:7" ht="20.100000000000001" customHeight="1">
      <c r="A33" s="24" t="str">
        <f ca="1">IFERROR(__xludf.DUMMYFUNCTION("""COMPUTED_VALUE"""),"Kalium (K) qanda")</f>
        <v>Kalium (K) qanda</v>
      </c>
      <c r="B33" s="25" t="s">
        <v>35</v>
      </c>
      <c r="C33" s="24" t="s">
        <v>44</v>
      </c>
      <c r="D33" s="25" t="s">
        <v>37</v>
      </c>
      <c r="E33" s="25" t="s">
        <v>42</v>
      </c>
      <c r="F33" s="26" t="s">
        <v>45</v>
      </c>
      <c r="G33" s="26" t="s">
        <v>40</v>
      </c>
    </row>
    <row r="34" spans="1:7" ht="20.100000000000001" customHeight="1">
      <c r="A34" s="24" t="str">
        <f ca="1">IFERROR(__xludf.DUMMYFUNCTION("""COMPUTED_VALUE"""),"Kalsium (Ca) qanda")</f>
        <v>Kalsium (Ca) qanda</v>
      </c>
      <c r="B34" s="25" t="s">
        <v>35</v>
      </c>
      <c r="C34" s="24" t="s">
        <v>44</v>
      </c>
      <c r="D34" s="25" t="s">
        <v>37</v>
      </c>
      <c r="E34" s="25" t="s">
        <v>42</v>
      </c>
      <c r="F34" s="26" t="s">
        <v>45</v>
      </c>
      <c r="G34" s="26" t="s">
        <v>40</v>
      </c>
    </row>
    <row r="35" spans="1:7" ht="20.100000000000001" customHeight="1">
      <c r="A35" s="24" t="str">
        <f ca="1">IFERROR(__xludf.DUMMYFUNCTION("""COMPUTED_VALUE"""),"Kalsium - kreatinin nisbəti sidikdə")</f>
        <v>Kalsium - kreatinin nisbəti sidikdə</v>
      </c>
      <c r="B35" s="25" t="s">
        <v>35</v>
      </c>
      <c r="C35" s="24" t="s">
        <v>41</v>
      </c>
      <c r="D35" s="25" t="s">
        <v>37</v>
      </c>
      <c r="E35" s="25" t="s">
        <v>42</v>
      </c>
      <c r="F35" s="26" t="s">
        <v>43</v>
      </c>
      <c r="G35" s="26" t="s">
        <v>40</v>
      </c>
    </row>
    <row r="36" spans="1:7" ht="30" customHeight="1">
      <c r="A36" s="24" t="str">
        <f ca="1">IFERROR(__xludf.DUMMYFUNCTION("""COMPUTED_VALUE"""),"Kalsium sidikdə (sutkalıq)")</f>
        <v>Kalsium sidikdə (sutkalıq)</v>
      </c>
      <c r="B36" s="25" t="s">
        <v>35</v>
      </c>
      <c r="C36" s="24" t="s">
        <v>41</v>
      </c>
      <c r="D36" s="25" t="s">
        <v>37</v>
      </c>
      <c r="E36" s="25" t="s">
        <v>42</v>
      </c>
      <c r="F36" s="26" t="s">
        <v>50</v>
      </c>
      <c r="G36" s="26" t="s">
        <v>40</v>
      </c>
    </row>
    <row r="37" spans="1:7" ht="20.100000000000001" customHeight="1">
      <c r="A37" s="24" t="str">
        <f ca="1">IFERROR(__xludf.DUMMYFUNCTION("""COMPUTED_VALUE"""),"Maqnezium (Mg) qanda")</f>
        <v>Maqnezium (Mg) qanda</v>
      </c>
      <c r="B37" s="25" t="s">
        <v>35</v>
      </c>
      <c r="C37" s="24" t="s">
        <v>44</v>
      </c>
      <c r="D37" s="25" t="s">
        <v>37</v>
      </c>
      <c r="E37" s="25" t="s">
        <v>42</v>
      </c>
      <c r="F37" s="26" t="s">
        <v>45</v>
      </c>
      <c r="G37" s="26" t="s">
        <v>40</v>
      </c>
    </row>
    <row r="38" spans="1:7" ht="20.100000000000001" customHeight="1">
      <c r="A38" s="24" t="str">
        <f ca="1">IFERROR(__xludf.DUMMYFUNCTION("""COMPUTED_VALUE"""),"Natrium qanda")</f>
        <v>Natrium qanda</v>
      </c>
      <c r="B38" s="25" t="s">
        <v>35</v>
      </c>
      <c r="C38" s="24" t="s">
        <v>44</v>
      </c>
      <c r="D38" s="25" t="s">
        <v>37</v>
      </c>
      <c r="E38" s="25" t="s">
        <v>42</v>
      </c>
      <c r="F38" s="26" t="s">
        <v>45</v>
      </c>
      <c r="G38" s="26" t="s">
        <v>40</v>
      </c>
    </row>
    <row r="39" spans="1:7" ht="20.100000000000001" customHeight="1">
      <c r="A39" s="24" t="str">
        <f ca="1">IFERROR(__xludf.DUMMYFUNCTION("""COMPUTED_VALUE"""),"Xlor qanda")</f>
        <v>Xlor qanda</v>
      </c>
      <c r="B39" s="25" t="s">
        <v>35</v>
      </c>
      <c r="C39" s="24" t="s">
        <v>44</v>
      </c>
      <c r="D39" s="25" t="s">
        <v>37</v>
      </c>
      <c r="E39" s="25" t="s">
        <v>42</v>
      </c>
      <c r="F39" s="26" t="s">
        <v>45</v>
      </c>
      <c r="G39" s="26" t="s">
        <v>40</v>
      </c>
    </row>
    <row r="40" spans="1:7" ht="20.100000000000001" customHeight="1">
      <c r="A40" s="28" t="s">
        <v>15</v>
      </c>
      <c r="B40" s="25"/>
      <c r="C40" s="24"/>
      <c r="D40" s="25"/>
      <c r="E40" s="25"/>
      <c r="F40" s="26"/>
      <c r="G40" s="26"/>
    </row>
    <row r="41" spans="1:7" ht="20.100000000000001" customHeight="1">
      <c r="A41" s="24" t="str">
        <f ca="1">IFERROR(__xludf.DUMMYFUNCTION("""COMPUTED_VALUE"""),"Kalsium sidikdə (birdəfəlik sidik)")</f>
        <v>Kalsium sidikdə (birdəfəlik sidik)</v>
      </c>
      <c r="B41" s="25" t="s">
        <v>35</v>
      </c>
      <c r="C41" s="24" t="s">
        <v>41</v>
      </c>
      <c r="D41" s="25" t="s">
        <v>37</v>
      </c>
      <c r="E41" s="25" t="s">
        <v>42</v>
      </c>
      <c r="F41" s="26" t="s">
        <v>51</v>
      </c>
      <c r="G41" s="26" t="s">
        <v>40</v>
      </c>
    </row>
    <row r="42" spans="1:7" ht="20.100000000000001" customHeight="1">
      <c r="A42" s="24" t="str">
        <f ca="1">IFERROR(__xludf.DUMMYFUNCTION("""COMPUTED_VALUE"""),"Sidik turşusu (URİC) qanda")</f>
        <v>Sidik turşusu (URİC) qanda</v>
      </c>
      <c r="B42" s="25" t="s">
        <v>35</v>
      </c>
      <c r="C42" s="24" t="s">
        <v>44</v>
      </c>
      <c r="D42" s="25" t="s">
        <v>37</v>
      </c>
      <c r="E42" s="25" t="s">
        <v>42</v>
      </c>
      <c r="F42" s="26" t="s">
        <v>45</v>
      </c>
      <c r="G42" s="26" t="s">
        <v>40</v>
      </c>
    </row>
    <row r="43" spans="1:7" ht="20.100000000000001" customHeight="1">
      <c r="A43" s="24" t="str">
        <f ca="1">IFERROR(__xludf.DUMMYFUNCTION("""COMPUTED_VALUE"""),"Sidik turşusu (URİC) sidikdə (sutkalıq)")</f>
        <v>Sidik turşusu (URİC) sidikdə (sutkalıq)</v>
      </c>
      <c r="B43" s="25" t="s">
        <v>35</v>
      </c>
      <c r="C43" s="24" t="s">
        <v>41</v>
      </c>
      <c r="D43" s="25" t="s">
        <v>37</v>
      </c>
      <c r="E43" s="25" t="s">
        <v>42</v>
      </c>
      <c r="F43" s="26" t="s">
        <v>43</v>
      </c>
      <c r="G43" s="26" t="s">
        <v>40</v>
      </c>
    </row>
    <row r="44" spans="1:7" ht="20.100000000000001" customHeight="1">
      <c r="A44" s="24" t="str">
        <f ca="1">IFERROR(__xludf.DUMMYFUNCTION("""COMPUTED_VALUE"""),"Kreatinin sidikdə(sutkalıq)")</f>
        <v>Kreatinin sidikdə(sutkalıq)</v>
      </c>
      <c r="B44" s="25" t="s">
        <v>35</v>
      </c>
      <c r="C44" s="24" t="s">
        <v>41</v>
      </c>
      <c r="D44" s="25" t="s">
        <v>37</v>
      </c>
      <c r="E44" s="25" t="s">
        <v>42</v>
      </c>
      <c r="F44" s="26" t="s">
        <v>51</v>
      </c>
      <c r="G44" s="26" t="s">
        <v>40</v>
      </c>
    </row>
    <row r="45" spans="1:7" ht="20.100000000000001" customHeight="1">
      <c r="A45" s="24" t="str">
        <f ca="1">IFERROR(__xludf.DUMMYFUNCTION("""COMPUTED_VALUE"""),"Kreatinin sidikdə(sutkalıq)")</f>
        <v>Kreatinin sidikdə(sutkalıq)</v>
      </c>
      <c r="B45" s="25" t="s">
        <v>35</v>
      </c>
      <c r="C45" s="29" t="s">
        <v>41</v>
      </c>
      <c r="D45" s="25" t="s">
        <v>37</v>
      </c>
      <c r="E45" s="25" t="s">
        <v>42</v>
      </c>
      <c r="F45" s="26" t="s">
        <v>51</v>
      </c>
      <c r="G45" s="26" t="s">
        <v>40</v>
      </c>
    </row>
    <row r="46" spans="1:7" ht="20.100000000000001" customHeight="1">
      <c r="A46" s="24" t="str">
        <f ca="1">IFERROR(__xludf.DUMMYFUNCTION("""COMPUTED_VALUE"""),"Qalıq azot (sidik cövhəri azotu) BUN")</f>
        <v>Qalıq azot (sidik cövhəri azotu) BUN</v>
      </c>
      <c r="B46" s="25" t="s">
        <v>35</v>
      </c>
      <c r="C46" s="24" t="s">
        <v>44</v>
      </c>
      <c r="D46" s="25" t="s">
        <v>37</v>
      </c>
      <c r="E46" s="25" t="s">
        <v>42</v>
      </c>
      <c r="F46" s="26" t="s">
        <v>45</v>
      </c>
      <c r="G46" s="26" t="s">
        <v>40</v>
      </c>
    </row>
    <row r="47" spans="1:7" ht="20.100000000000001" customHeight="1">
      <c r="A47" s="24" t="str">
        <f ca="1">IFERROR(__xludf.DUMMYFUNCTION("""COMPUTED_VALUE"""),"Sidik cövhəri (UREA) qanda")</f>
        <v>Sidik cövhəri (UREA) qanda</v>
      </c>
      <c r="B47" s="25" t="s">
        <v>35</v>
      </c>
      <c r="C47" s="24" t="s">
        <v>44</v>
      </c>
      <c r="D47" s="25" t="s">
        <v>37</v>
      </c>
      <c r="E47" s="25" t="s">
        <v>42</v>
      </c>
      <c r="F47" s="26" t="s">
        <v>45</v>
      </c>
      <c r="G47" s="26" t="s">
        <v>40</v>
      </c>
    </row>
    <row r="48" spans="1:7" ht="20.100000000000001" customHeight="1">
      <c r="A48" s="24" t="str">
        <f ca="1">IFERROR(__xludf.DUMMYFUNCTION("""COMPUTED_VALUE"""),"Sidik cövhəri (UREA) sidikdə (sutkalıq)")</f>
        <v>Sidik cövhəri (UREA) sidikdə (sutkalıq)</v>
      </c>
      <c r="B48" s="25" t="s">
        <v>35</v>
      </c>
      <c r="C48" s="24" t="s">
        <v>41</v>
      </c>
      <c r="D48" s="25" t="s">
        <v>37</v>
      </c>
      <c r="E48" s="25" t="s">
        <v>42</v>
      </c>
      <c r="F48" s="26" t="s">
        <v>43</v>
      </c>
      <c r="G48" s="26" t="s">
        <v>40</v>
      </c>
    </row>
    <row r="49" spans="1:7" ht="20.100000000000001" customHeight="1">
      <c r="A49" s="28" t="s">
        <v>16</v>
      </c>
      <c r="B49" s="25"/>
      <c r="C49" s="24"/>
      <c r="D49" s="25"/>
      <c r="E49" s="25"/>
      <c r="F49" s="26"/>
      <c r="G49" s="26"/>
    </row>
    <row r="50" spans="1:7" ht="20.100000000000001" customHeight="1">
      <c r="A50" s="24" t="str">
        <f ca="1">IFERROR(__xludf.DUMMYFUNCTION("""COMPUTED_VALUE"""),"Düz bilirubin (direct ,birləşmiş)")</f>
        <v>Düz bilirubin (direct ,birləşmiş)</v>
      </c>
      <c r="B50" s="25" t="s">
        <v>35</v>
      </c>
      <c r="C50" s="24" t="s">
        <v>44</v>
      </c>
      <c r="D50" s="25" t="s">
        <v>37</v>
      </c>
      <c r="E50" s="25" t="s">
        <v>42</v>
      </c>
      <c r="F50" s="26" t="s">
        <v>45</v>
      </c>
      <c r="G50" s="26" t="s">
        <v>40</v>
      </c>
    </row>
    <row r="51" spans="1:7" ht="20.100000000000001" customHeight="1">
      <c r="A51" s="24" t="str">
        <f ca="1">IFERROR(__xludf.DUMMYFUNCTION("""COMPUTED_VALUE"""),"Qeyri düz bilirubin (konyuqə olunmamış, sərbəst)")</f>
        <v>Qeyri düz bilirubin (konyuqə olunmamış, sərbəst)</v>
      </c>
      <c r="B51" s="25" t="s">
        <v>35</v>
      </c>
      <c r="C51" s="24" t="s">
        <v>44</v>
      </c>
      <c r="D51" s="25" t="s">
        <v>37</v>
      </c>
      <c r="E51" s="25" t="s">
        <v>42</v>
      </c>
      <c r="F51" s="26" t="s">
        <v>45</v>
      </c>
      <c r="G51" s="26" t="s">
        <v>40</v>
      </c>
    </row>
    <row r="52" spans="1:7" ht="20.100000000000001" customHeight="1">
      <c r="A52" s="24" t="str">
        <f ca="1">IFERROR(__xludf.DUMMYFUNCTION("""COMPUTED_VALUE"""),"Ümumi bilirubin")</f>
        <v>Ümumi bilirubin</v>
      </c>
      <c r="B52" s="25" t="s">
        <v>35</v>
      </c>
      <c r="C52" s="24" t="s">
        <v>44</v>
      </c>
      <c r="D52" s="25" t="s">
        <v>37</v>
      </c>
      <c r="E52" s="25" t="s">
        <v>42</v>
      </c>
      <c r="F52" s="26" t="s">
        <v>45</v>
      </c>
      <c r="G52" s="26" t="s">
        <v>40</v>
      </c>
    </row>
    <row r="53" spans="1:7" ht="20.100000000000001" customHeight="1">
      <c r="A53" s="28" t="s">
        <v>17</v>
      </c>
      <c r="B53" s="25"/>
      <c r="C53" s="24"/>
      <c r="D53" s="25"/>
      <c r="E53" s="25"/>
      <c r="F53" s="26"/>
      <c r="G53" s="26"/>
    </row>
    <row r="54" spans="1:7" ht="20.100000000000001" customHeight="1">
      <c r="A54" s="24" t="str">
        <f ca="1">IFERROR(__xludf.DUMMYFUNCTION("""COMPUTED_VALUE"""),"Albumin(alb)")</f>
        <v>Albumin(alb)</v>
      </c>
      <c r="B54" s="25" t="s">
        <v>35</v>
      </c>
      <c r="C54" s="24" t="s">
        <v>44</v>
      </c>
      <c r="D54" s="25" t="s">
        <v>37</v>
      </c>
      <c r="E54" s="25" t="s">
        <v>42</v>
      </c>
      <c r="F54" s="26" t="s">
        <v>45</v>
      </c>
      <c r="G54" s="26" t="s">
        <v>40</v>
      </c>
    </row>
    <row r="55" spans="1:7" ht="20.100000000000001" customHeight="1">
      <c r="A55" s="24" t="str">
        <f ca="1">IFERROR(__xludf.DUMMYFUNCTION("""COMPUTED_VALUE"""),"İmmunoqlobulin E")</f>
        <v>İmmunoqlobulin E</v>
      </c>
      <c r="B55" s="25" t="s">
        <v>52</v>
      </c>
      <c r="C55" s="24" t="s">
        <v>44</v>
      </c>
      <c r="D55" s="25" t="s">
        <v>37</v>
      </c>
      <c r="E55" s="25" t="s">
        <v>38</v>
      </c>
      <c r="F55" s="26" t="s">
        <v>45</v>
      </c>
      <c r="G55" s="26" t="s">
        <v>40</v>
      </c>
    </row>
    <row r="56" spans="1:7" ht="20.100000000000001" customHeight="1">
      <c r="A56" s="24" t="str">
        <f ca="1">IFERROR(__xludf.DUMMYFUNCTION("""COMPUTED_VALUE"""),"Mikroalbumin (sutkalıq sidikdə)")</f>
        <v>Mikroalbumin (sutkalıq sidikdə)</v>
      </c>
      <c r="B56" s="25" t="s">
        <v>35</v>
      </c>
      <c r="C56" s="24" t="s">
        <v>41</v>
      </c>
      <c r="D56" s="25" t="s">
        <v>37</v>
      </c>
      <c r="E56" s="25" t="s">
        <v>42</v>
      </c>
      <c r="F56" s="26" t="s">
        <v>43</v>
      </c>
      <c r="G56" s="26" t="s">
        <v>40</v>
      </c>
    </row>
    <row r="57" spans="1:7" ht="20.100000000000001" customHeight="1">
      <c r="A57" s="24" t="str">
        <f ca="1">IFERROR(__xludf.DUMMYFUNCTION("""COMPUTED_VALUE"""),"Zülal Sutkalıq sidikdə")</f>
        <v>Zülal Sutkalıq sidikdə</v>
      </c>
      <c r="B57" s="25" t="s">
        <v>35</v>
      </c>
      <c r="C57" s="24" t="s">
        <v>41</v>
      </c>
      <c r="D57" s="25" t="s">
        <v>37</v>
      </c>
      <c r="E57" s="25" t="s">
        <v>42</v>
      </c>
      <c r="F57" s="26" t="s">
        <v>43</v>
      </c>
      <c r="G57" s="26" t="s">
        <v>40</v>
      </c>
    </row>
    <row r="58" spans="1:7" ht="20.100000000000001" customHeight="1">
      <c r="A58" s="24" t="str">
        <f ca="1">IFERROR(__xludf.DUMMYFUNCTION("""COMPUTED_VALUE"""),"Ümumi zülal(protein)")</f>
        <v>Ümumi zülal(protein)</v>
      </c>
      <c r="B58" s="25" t="s">
        <v>35</v>
      </c>
      <c r="C58" s="24" t="s">
        <v>44</v>
      </c>
      <c r="D58" s="25" t="s">
        <v>37</v>
      </c>
      <c r="E58" s="25" t="s">
        <v>42</v>
      </c>
      <c r="F58" s="26" t="s">
        <v>45</v>
      </c>
      <c r="G58" s="26" t="s">
        <v>40</v>
      </c>
    </row>
    <row r="59" spans="1:7" ht="20.100000000000001" customHeight="1">
      <c r="A59" s="28" t="s">
        <v>18</v>
      </c>
      <c r="B59" s="25"/>
      <c r="C59" s="24"/>
      <c r="D59" s="25"/>
      <c r="E59" s="25"/>
      <c r="F59" s="26"/>
      <c r="G59" s="26"/>
    </row>
    <row r="60" spans="1:7" ht="20.100000000000001" customHeight="1">
      <c r="A60" s="24" t="str">
        <f ca="1">IFERROR(__xludf.DUMMYFUNCTION("""COMPUTED_VALUE"""),"Dəmir (Fe) qan")</f>
        <v>Dəmir (Fe) qan</v>
      </c>
      <c r="B60" s="25" t="s">
        <v>35</v>
      </c>
      <c r="C60" s="24" t="s">
        <v>44</v>
      </c>
      <c r="D60" s="25" t="s">
        <v>37</v>
      </c>
      <c r="E60" s="25" t="s">
        <v>42</v>
      </c>
      <c r="F60" s="26" t="s">
        <v>45</v>
      </c>
      <c r="G60" s="26" t="s">
        <v>40</v>
      </c>
    </row>
    <row r="61" spans="1:7" ht="20.100000000000001" customHeight="1">
      <c r="A61" s="29" t="str">
        <f ca="1">IFERROR(__xludf.DUMMYFUNCTION("""COMPUTED_VALUE"""),"Ferritin")</f>
        <v>Ferritin</v>
      </c>
      <c r="B61" s="25" t="s">
        <v>52</v>
      </c>
      <c r="C61" s="24" t="s">
        <v>44</v>
      </c>
      <c r="D61" s="25" t="s">
        <v>37</v>
      </c>
      <c r="E61" s="25" t="s">
        <v>38</v>
      </c>
      <c r="F61" s="26" t="s">
        <v>45</v>
      </c>
      <c r="G61" s="26" t="s">
        <v>40</v>
      </c>
    </row>
    <row r="62" spans="1:7" ht="20.100000000000001" customHeight="1">
      <c r="A62" s="28" t="s">
        <v>19</v>
      </c>
      <c r="B62" s="25"/>
      <c r="C62" s="24"/>
      <c r="D62" s="25"/>
      <c r="E62" s="25"/>
      <c r="F62" s="26"/>
      <c r="G62" s="26"/>
    </row>
    <row r="63" spans="1:7" ht="20.100000000000001" customHeight="1">
      <c r="A63" s="24" t="str">
        <f ca="1">IFERROR(__xludf.DUMMYFUNCTION("""COMPUTED_VALUE"""),"Testosteron")</f>
        <v>Testosteron</v>
      </c>
      <c r="B63" s="25" t="s">
        <v>52</v>
      </c>
      <c r="C63" s="24" t="s">
        <v>44</v>
      </c>
      <c r="D63" s="25" t="s">
        <v>37</v>
      </c>
      <c r="E63" s="25" t="s">
        <v>38</v>
      </c>
      <c r="F63" s="26" t="s">
        <v>45</v>
      </c>
      <c r="G63" s="26" t="s">
        <v>40</v>
      </c>
    </row>
    <row r="64" spans="1:7" ht="20.100000000000001" customHeight="1">
      <c r="A64" s="24" t="str">
        <f ca="1">IFERROR(__xludf.DUMMYFUNCTION("""COMPUTED_VALUE"""),"Antimüller hormonu (AMH)")</f>
        <v>Antimüller hormonu (AMH)</v>
      </c>
      <c r="B64" s="25" t="s">
        <v>52</v>
      </c>
      <c r="C64" s="24" t="s">
        <v>44</v>
      </c>
      <c r="D64" s="25" t="s">
        <v>37</v>
      </c>
      <c r="E64" s="25" t="s">
        <v>38</v>
      </c>
      <c r="F64" s="26" t="s">
        <v>48</v>
      </c>
      <c r="G64" s="26" t="s">
        <v>40</v>
      </c>
    </row>
    <row r="65" spans="1:7" ht="20.100000000000001" customHeight="1">
      <c r="A65" s="24" t="str">
        <f ca="1">IFERROR(__xludf.DUMMYFUNCTION("""COMPUTED_VALUE"""),"B-xorionik qonadotropin")</f>
        <v>B-xorionik qonadotropin</v>
      </c>
      <c r="B65" s="25" t="s">
        <v>52</v>
      </c>
      <c r="C65" s="24" t="s">
        <v>44</v>
      </c>
      <c r="D65" s="25" t="s">
        <v>37</v>
      </c>
      <c r="E65" s="25" t="s">
        <v>38</v>
      </c>
      <c r="F65" s="26" t="s">
        <v>45</v>
      </c>
      <c r="G65" s="26" t="s">
        <v>40</v>
      </c>
    </row>
    <row r="66" spans="1:7" ht="20.100000000000001" customHeight="1">
      <c r="A66" s="24" t="str">
        <f ca="1">IFERROR(__xludf.DUMMYFUNCTION("""COMPUTED_VALUE"""),"DHEA-SO4 dehidroepiandrosterosulfat")</f>
        <v>DHEA-SO4 dehidroepiandrosterosulfat</v>
      </c>
      <c r="B66" s="25" t="s">
        <v>52</v>
      </c>
      <c r="C66" s="24" t="s">
        <v>44</v>
      </c>
      <c r="D66" s="25" t="s">
        <v>37</v>
      </c>
      <c r="E66" s="25" t="s">
        <v>38</v>
      </c>
      <c r="F66" s="26" t="s">
        <v>45</v>
      </c>
      <c r="G66" s="26" t="s">
        <v>40</v>
      </c>
    </row>
    <row r="67" spans="1:7" ht="20.100000000000001" customHeight="1">
      <c r="A67" s="24" t="str">
        <f ca="1">IFERROR(__xludf.DUMMYFUNCTION("""COMPUTED_VALUE"""),"Estradiol (E2)")</f>
        <v>Estradiol (E2)</v>
      </c>
      <c r="B67" s="25" t="s">
        <v>52</v>
      </c>
      <c r="C67" s="24" t="s">
        <v>44</v>
      </c>
      <c r="D67" s="25" t="s">
        <v>37</v>
      </c>
      <c r="E67" s="25" t="s">
        <v>38</v>
      </c>
      <c r="F67" s="26" t="s">
        <v>45</v>
      </c>
      <c r="G67" s="26" t="s">
        <v>40</v>
      </c>
    </row>
    <row r="68" spans="1:7" ht="20.100000000000001" customHeight="1">
      <c r="A68" s="24" t="str">
        <f ca="1">IFERROR(__xludf.DUMMYFUNCTION("""COMPUTED_VALUE"""),"FSH (follikulstimullaşdırıcı)")</f>
        <v>FSH (follikulstimullaşdırıcı)</v>
      </c>
      <c r="B68" s="25" t="s">
        <v>52</v>
      </c>
      <c r="C68" s="24" t="s">
        <v>44</v>
      </c>
      <c r="D68" s="25" t="s">
        <v>37</v>
      </c>
      <c r="E68" s="25" t="s">
        <v>38</v>
      </c>
      <c r="F68" s="26" t="s">
        <v>45</v>
      </c>
      <c r="G68" s="26" t="s">
        <v>40</v>
      </c>
    </row>
    <row r="69" spans="1:7" ht="20.100000000000001" customHeight="1">
      <c r="A69" s="24" t="str">
        <f ca="1">IFERROR(__xludf.DUMMYFUNCTION("""COMPUTED_VALUE"""),"LH (lüteinləşdirici hormon)")</f>
        <v>LH (lüteinləşdirici hormon)</v>
      </c>
      <c r="B69" s="25" t="s">
        <v>52</v>
      </c>
      <c r="C69" s="24" t="s">
        <v>44</v>
      </c>
      <c r="D69" s="25" t="s">
        <v>37</v>
      </c>
      <c r="E69" s="25" t="s">
        <v>38</v>
      </c>
      <c r="F69" s="26" t="s">
        <v>45</v>
      </c>
      <c r="G69" s="26" t="s">
        <v>40</v>
      </c>
    </row>
    <row r="70" spans="1:7" ht="20.100000000000001" customHeight="1">
      <c r="A70" s="24" t="str">
        <f ca="1">IFERROR(__xludf.DUMMYFUNCTION("""COMPUTED_VALUE"""),"Progesteron")</f>
        <v>Progesteron</v>
      </c>
      <c r="B70" s="25" t="s">
        <v>52</v>
      </c>
      <c r="C70" s="24" t="s">
        <v>44</v>
      </c>
      <c r="D70" s="25" t="s">
        <v>37</v>
      </c>
      <c r="E70" s="25" t="s">
        <v>38</v>
      </c>
      <c r="F70" s="26" t="s">
        <v>45</v>
      </c>
      <c r="G70" s="26" t="s">
        <v>40</v>
      </c>
    </row>
    <row r="71" spans="1:7" ht="20.100000000000001" customHeight="1">
      <c r="A71" s="24" t="str">
        <f ca="1">IFERROR(__xludf.DUMMYFUNCTION("""COMPUTED_VALUE"""),"Prolaktin")</f>
        <v>Prolaktin</v>
      </c>
      <c r="B71" s="25" t="s">
        <v>52</v>
      </c>
      <c r="C71" s="24" t="s">
        <v>44</v>
      </c>
      <c r="D71" s="25" t="s">
        <v>37</v>
      </c>
      <c r="E71" s="25" t="s">
        <v>38</v>
      </c>
      <c r="F71" s="26" t="s">
        <v>45</v>
      </c>
      <c r="G71" s="26" t="s">
        <v>40</v>
      </c>
    </row>
    <row r="72" spans="1:7" ht="20.100000000000001" customHeight="1">
      <c r="A72" s="28" t="s">
        <v>20</v>
      </c>
      <c r="B72" s="25"/>
      <c r="C72" s="24"/>
      <c r="D72" s="25"/>
      <c r="E72" s="25"/>
      <c r="F72" s="26"/>
      <c r="G72" s="26"/>
    </row>
    <row r="73" spans="1:7" ht="20.100000000000001" customHeight="1">
      <c r="A73" s="24" t="str">
        <f ca="1">IFERROR(__xludf.DUMMYFUNCTION("""COMPUTED_VALUE"""),"Kortizol")</f>
        <v>Kortizol</v>
      </c>
      <c r="B73" s="25" t="s">
        <v>52</v>
      </c>
      <c r="C73" s="24" t="s">
        <v>44</v>
      </c>
      <c r="D73" s="25" t="s">
        <v>37</v>
      </c>
      <c r="E73" s="25" t="s">
        <v>38</v>
      </c>
      <c r="F73" s="26" t="s">
        <v>45</v>
      </c>
      <c r="G73" s="26" t="s">
        <v>40</v>
      </c>
    </row>
    <row r="74" spans="1:7" ht="20.100000000000001" customHeight="1">
      <c r="A74" s="28" t="s">
        <v>21</v>
      </c>
      <c r="B74" s="25"/>
      <c r="C74" s="24"/>
      <c r="D74" s="25"/>
      <c r="E74" s="25"/>
      <c r="F74" s="26"/>
      <c r="G74" s="26"/>
    </row>
    <row r="75" spans="1:7" ht="20.100000000000001" customHeight="1">
      <c r="A75" s="24" t="str">
        <f ca="1">IFERROR(__xludf.DUMMYFUNCTION("""COMPUTED_VALUE"""),"Anti-TG")</f>
        <v>Anti-TG</v>
      </c>
      <c r="B75" s="25" t="s">
        <v>52</v>
      </c>
      <c r="C75" s="24" t="s">
        <v>44</v>
      </c>
      <c r="D75" s="25" t="s">
        <v>37</v>
      </c>
      <c r="E75" s="25" t="s">
        <v>38</v>
      </c>
      <c r="F75" s="26" t="s">
        <v>39</v>
      </c>
      <c r="G75" s="26" t="s">
        <v>40</v>
      </c>
    </row>
    <row r="76" spans="1:7" ht="20.100000000000001" customHeight="1">
      <c r="A76" s="24" t="str">
        <f ca="1">IFERROR(__xludf.DUMMYFUNCTION("""COMPUTED_VALUE"""),"Anti-TPO")</f>
        <v>Anti-TPO</v>
      </c>
      <c r="B76" s="25" t="s">
        <v>52</v>
      </c>
      <c r="C76" s="24" t="s">
        <v>44</v>
      </c>
      <c r="D76" s="25" t="s">
        <v>37</v>
      </c>
      <c r="E76" s="25" t="s">
        <v>38</v>
      </c>
      <c r="F76" s="26" t="s">
        <v>39</v>
      </c>
      <c r="G76" s="26" t="s">
        <v>40</v>
      </c>
    </row>
    <row r="77" spans="1:7" ht="20.100000000000001" customHeight="1">
      <c r="A77" s="24" t="str">
        <f ca="1">IFERROR(__xludf.DUMMYFUNCTION("""COMPUTED_VALUE"""),"İntact PTH (Parathormon)")</f>
        <v>İntact PTH (Parathormon)</v>
      </c>
      <c r="B77" s="25" t="s">
        <v>52</v>
      </c>
      <c r="C77" s="24" t="s">
        <v>53</v>
      </c>
      <c r="D77" s="25" t="s">
        <v>37</v>
      </c>
      <c r="E77" s="25" t="s">
        <v>38</v>
      </c>
      <c r="F77" s="26" t="s">
        <v>45</v>
      </c>
      <c r="G77" s="26" t="s">
        <v>40</v>
      </c>
    </row>
    <row r="78" spans="1:7" ht="20.100000000000001" customHeight="1">
      <c r="A78" s="24" t="str">
        <f ca="1">IFERROR(__xludf.DUMMYFUNCTION("""COMPUTED_VALUE"""),"Kalsitonin")</f>
        <v>Kalsitonin</v>
      </c>
      <c r="B78" s="25" t="s">
        <v>52</v>
      </c>
      <c r="C78" s="24" t="s">
        <v>44</v>
      </c>
      <c r="D78" s="25" t="s">
        <v>37</v>
      </c>
      <c r="E78" s="25" t="s">
        <v>38</v>
      </c>
      <c r="F78" s="26" t="s">
        <v>45</v>
      </c>
      <c r="G78" s="26" t="s">
        <v>40</v>
      </c>
    </row>
    <row r="79" spans="1:7" ht="20.100000000000001" customHeight="1">
      <c r="A79" s="24" t="str">
        <f ca="1">IFERROR(__xludf.DUMMYFUNCTION("""COMPUTED_VALUE"""),"Sərbəst T3")</f>
        <v>Sərbəst T3</v>
      </c>
      <c r="B79" s="25" t="s">
        <v>52</v>
      </c>
      <c r="C79" s="24" t="s">
        <v>44</v>
      </c>
      <c r="D79" s="25" t="s">
        <v>37</v>
      </c>
      <c r="E79" s="25" t="s">
        <v>38</v>
      </c>
      <c r="F79" s="26" t="s">
        <v>45</v>
      </c>
      <c r="G79" s="26" t="s">
        <v>40</v>
      </c>
    </row>
    <row r="80" spans="1:7" ht="20.100000000000001" customHeight="1">
      <c r="A80" s="24" t="str">
        <f ca="1">IFERROR(__xludf.DUMMYFUNCTION("""COMPUTED_VALUE"""),"Sərbəst T4")</f>
        <v>Sərbəst T4</v>
      </c>
      <c r="B80" s="25" t="s">
        <v>52</v>
      </c>
      <c r="C80" s="24" t="s">
        <v>44</v>
      </c>
      <c r="D80" s="25" t="s">
        <v>37</v>
      </c>
      <c r="E80" s="25" t="s">
        <v>38</v>
      </c>
      <c r="F80" s="26" t="s">
        <v>45</v>
      </c>
      <c r="G80" s="26" t="s">
        <v>54</v>
      </c>
    </row>
    <row r="81" spans="1:7" ht="20.100000000000001" customHeight="1">
      <c r="A81" s="24" t="str">
        <f ca="1">IFERROR(__xludf.DUMMYFUNCTION("""COMPUTED_VALUE"""),"T3-triyodtironin")</f>
        <v>T3-triyodtironin</v>
      </c>
      <c r="B81" s="25" t="s">
        <v>52</v>
      </c>
      <c r="C81" s="24" t="s">
        <v>44</v>
      </c>
      <c r="D81" s="25" t="s">
        <v>37</v>
      </c>
      <c r="E81" s="25" t="s">
        <v>38</v>
      </c>
      <c r="F81" s="26" t="s">
        <v>45</v>
      </c>
      <c r="G81" s="26" t="s">
        <v>40</v>
      </c>
    </row>
    <row r="82" spans="1:7" ht="20.100000000000001" customHeight="1">
      <c r="A82" s="24" t="str">
        <f ca="1">IFERROR(__xludf.DUMMYFUNCTION("""COMPUTED_VALUE"""),"T4-tiroksin")</f>
        <v>T4-tiroksin</v>
      </c>
      <c r="B82" s="25" t="s">
        <v>52</v>
      </c>
      <c r="C82" s="24" t="s">
        <v>44</v>
      </c>
      <c r="D82" s="25" t="s">
        <v>37</v>
      </c>
      <c r="E82" s="25" t="s">
        <v>38</v>
      </c>
      <c r="F82" s="26" t="s">
        <v>45</v>
      </c>
      <c r="G82" s="26" t="s">
        <v>40</v>
      </c>
    </row>
    <row r="83" spans="1:7" ht="20.100000000000001" customHeight="1">
      <c r="A83" s="24" t="str">
        <f ca="1">IFERROR(__xludf.DUMMYFUNCTION("""COMPUTED_VALUE"""),"Tireoqlobulin")</f>
        <v>Tireoqlobulin</v>
      </c>
      <c r="B83" s="25" t="s">
        <v>52</v>
      </c>
      <c r="C83" s="24" t="s">
        <v>44</v>
      </c>
      <c r="D83" s="25" t="s">
        <v>37</v>
      </c>
      <c r="E83" s="25" t="s">
        <v>38</v>
      </c>
      <c r="F83" s="26" t="s">
        <v>45</v>
      </c>
      <c r="G83" s="26" t="s">
        <v>40</v>
      </c>
    </row>
    <row r="84" spans="1:7" ht="20.100000000000001" customHeight="1">
      <c r="A84" s="24" t="str">
        <f ca="1">IFERROR(__xludf.DUMMYFUNCTION("""COMPUTED_VALUE"""),"Tiroid reseptor anticismlər (TRab)")</f>
        <v>Tiroid reseptor anticismlər (TRab)</v>
      </c>
      <c r="B84" s="25" t="s">
        <v>52</v>
      </c>
      <c r="C84" s="24" t="s">
        <v>44</v>
      </c>
      <c r="D84" s="25" t="s">
        <v>37</v>
      </c>
      <c r="E84" s="25" t="s">
        <v>38</v>
      </c>
      <c r="F84" s="26" t="s">
        <v>45</v>
      </c>
      <c r="G84" s="26" t="s">
        <v>40</v>
      </c>
    </row>
    <row r="85" spans="1:7" ht="20.100000000000001" customHeight="1">
      <c r="A85" s="24" t="str">
        <f ca="1">IFERROR(__xludf.DUMMYFUNCTION("""COMPUTED_VALUE"""),"TSH-tireostimullaşdırıcı hormon")</f>
        <v>TSH-tireostimullaşdırıcı hormon</v>
      </c>
      <c r="B85" s="25" t="s">
        <v>52</v>
      </c>
      <c r="C85" s="24" t="s">
        <v>44</v>
      </c>
      <c r="D85" s="25" t="s">
        <v>37</v>
      </c>
      <c r="E85" s="25" t="s">
        <v>38</v>
      </c>
      <c r="F85" s="26" t="s">
        <v>45</v>
      </c>
      <c r="G85" s="26" t="s">
        <v>40</v>
      </c>
    </row>
    <row r="86" spans="1:7" ht="20.100000000000001" customHeight="1">
      <c r="A86" s="28" t="s">
        <v>22</v>
      </c>
      <c r="B86" s="25"/>
      <c r="C86" s="24"/>
      <c r="D86" s="25"/>
      <c r="E86" s="25"/>
      <c r="F86" s="26"/>
      <c r="G86" s="26"/>
    </row>
    <row r="87" spans="1:7" ht="20.100000000000001" customHeight="1">
      <c r="A87" s="24" t="str">
        <f ca="1">IFERROR(__xludf.DUMMYFUNCTION("""COMPUTED_VALUE"""),"C-peptid")</f>
        <v>C-peptid</v>
      </c>
      <c r="B87" s="25" t="s">
        <v>52</v>
      </c>
      <c r="C87" s="24" t="s">
        <v>44</v>
      </c>
      <c r="D87" s="25" t="s">
        <v>37</v>
      </c>
      <c r="E87" s="25" t="s">
        <v>38</v>
      </c>
      <c r="F87" s="26" t="s">
        <v>45</v>
      </c>
      <c r="G87" s="26" t="s">
        <v>40</v>
      </c>
    </row>
    <row r="88" spans="1:7" ht="20.100000000000001" customHeight="1">
      <c r="A88" s="24" t="str">
        <f ca="1">IFERROR(__xludf.DUMMYFUNCTION("""COMPUTED_VALUE"""),"İnsulin")</f>
        <v>İnsulin</v>
      </c>
      <c r="B88" s="25" t="s">
        <v>52</v>
      </c>
      <c r="C88" s="24" t="s">
        <v>44</v>
      </c>
      <c r="D88" s="25" t="s">
        <v>37</v>
      </c>
      <c r="E88" s="25" t="s">
        <v>38</v>
      </c>
      <c r="F88" s="26" t="s">
        <v>45</v>
      </c>
      <c r="G88" s="26" t="s">
        <v>40</v>
      </c>
    </row>
    <row r="89" spans="1:7" ht="20.100000000000001" customHeight="1">
      <c r="A89" s="24" t="str">
        <f ca="1">IFERROR(__xludf.DUMMYFUNCTION("""COMPUTED_VALUE"""),"insulin rezistentliy")</f>
        <v>insulin rezistentliy</v>
      </c>
      <c r="B89" s="25" t="s">
        <v>52</v>
      </c>
      <c r="C89" s="24" t="s">
        <v>44</v>
      </c>
      <c r="D89" s="25" t="s">
        <v>37</v>
      </c>
      <c r="E89" s="25" t="s">
        <v>38</v>
      </c>
      <c r="F89" s="26" t="s">
        <v>45</v>
      </c>
      <c r="G89" s="26" t="s">
        <v>40</v>
      </c>
    </row>
    <row r="90" spans="1:7" ht="20.100000000000001" customHeight="1">
      <c r="A90" s="28" t="s">
        <v>23</v>
      </c>
      <c r="B90" s="25"/>
      <c r="C90" s="24"/>
      <c r="D90" s="25"/>
      <c r="E90" s="25"/>
      <c r="F90" s="26"/>
      <c r="G90" s="26"/>
    </row>
    <row r="91" spans="1:7" ht="20.100000000000001" customHeight="1">
      <c r="A91" s="24" t="str">
        <f ca="1">IFERROR(__xludf.DUMMYFUNCTION("""COMPUTED_VALUE"""),"AFP alfa-fetoprotein")</f>
        <v>AFP alfa-fetoprotein</v>
      </c>
      <c r="B91" s="25" t="s">
        <v>52</v>
      </c>
      <c r="C91" s="24" t="s">
        <v>44</v>
      </c>
      <c r="D91" s="25" t="s">
        <v>37</v>
      </c>
      <c r="E91" s="25" t="s">
        <v>38</v>
      </c>
      <c r="F91" s="26" t="s">
        <v>39</v>
      </c>
      <c r="G91" s="26" t="s">
        <v>40</v>
      </c>
    </row>
    <row r="92" spans="1:7" ht="20.100000000000001" customHeight="1">
      <c r="A92" s="24" t="str">
        <f ca="1">IFERROR(__xludf.DUMMYFUNCTION("""COMPUTED_VALUE"""),"PRİSCA (İkili test - hamiəlyin skrininqi)")</f>
        <v>PRİSCA (İkili test - hamiəlyin skrininqi)</v>
      </c>
      <c r="B92" s="25" t="s">
        <v>52</v>
      </c>
      <c r="C92" s="24" t="s">
        <v>44</v>
      </c>
      <c r="D92" s="25" t="s">
        <v>37</v>
      </c>
      <c r="E92" s="25" t="s">
        <v>55</v>
      </c>
      <c r="F92" s="26" t="s">
        <v>45</v>
      </c>
      <c r="G92" s="26" t="s">
        <v>40</v>
      </c>
    </row>
    <row r="93" spans="1:7" ht="20.100000000000001" customHeight="1">
      <c r="A93" s="24" t="str">
        <f ca="1">IFERROR(__xludf.DUMMYFUNCTION("""COMPUTED_VALUE"""),"PRİSCA (Üçlü test - hamiəlyin skrininqi)")</f>
        <v>PRİSCA (Üçlü test - hamiəlyin skrininqi)</v>
      </c>
      <c r="B93" s="25" t="s">
        <v>52</v>
      </c>
      <c r="C93" s="24" t="s">
        <v>44</v>
      </c>
      <c r="D93" s="25" t="s">
        <v>37</v>
      </c>
      <c r="E93" s="25" t="s">
        <v>55</v>
      </c>
      <c r="F93" s="26" t="s">
        <v>45</v>
      </c>
      <c r="G93" s="26" t="s">
        <v>40</v>
      </c>
    </row>
    <row r="94" spans="1:7" ht="20.100000000000001" customHeight="1">
      <c r="A94" s="24" t="str">
        <f ca="1">IFERROR(__xludf.DUMMYFUNCTION("""COMPUTED_VALUE"""),"AFP alfa-fetoprotein")</f>
        <v>AFP alfa-fetoprotein</v>
      </c>
      <c r="B94" s="25" t="s">
        <v>52</v>
      </c>
      <c r="C94" s="24" t="s">
        <v>44</v>
      </c>
      <c r="D94" s="25" t="s">
        <v>37</v>
      </c>
      <c r="E94" s="25" t="s">
        <v>38</v>
      </c>
      <c r="F94" s="26" t="s">
        <v>39</v>
      </c>
      <c r="G94" s="26" t="s">
        <v>40</v>
      </c>
    </row>
    <row r="95" spans="1:7" ht="20.100000000000001" customHeight="1">
      <c r="A95" s="24" t="str">
        <f ca="1">IFERROR(__xludf.DUMMYFUNCTION("""COMPUTED_VALUE"""),"CA 125")</f>
        <v>CA 125</v>
      </c>
      <c r="B95" s="25" t="s">
        <v>52</v>
      </c>
      <c r="C95" s="24" t="s">
        <v>44</v>
      </c>
      <c r="D95" s="25" t="s">
        <v>37</v>
      </c>
      <c r="E95" s="25" t="s">
        <v>38</v>
      </c>
      <c r="F95" s="26" t="s">
        <v>45</v>
      </c>
      <c r="G95" s="26" t="s">
        <v>40</v>
      </c>
    </row>
    <row r="96" spans="1:7" ht="20.100000000000001" customHeight="1">
      <c r="A96" s="24" t="str">
        <f ca="1">IFERROR(__xludf.DUMMYFUNCTION("""COMPUTED_VALUE"""),"CA 15-3")</f>
        <v>CA 15-3</v>
      </c>
      <c r="B96" s="25" t="s">
        <v>52</v>
      </c>
      <c r="C96" s="24" t="s">
        <v>44</v>
      </c>
      <c r="D96" s="25" t="s">
        <v>37</v>
      </c>
      <c r="E96" s="25" t="s">
        <v>38</v>
      </c>
      <c r="F96" s="26" t="s">
        <v>45</v>
      </c>
      <c r="G96" s="26" t="s">
        <v>40</v>
      </c>
    </row>
    <row r="97" spans="1:7" ht="20.100000000000001" customHeight="1">
      <c r="A97" s="24" t="str">
        <f ca="1">IFERROR(__xludf.DUMMYFUNCTION("""COMPUTED_VALUE"""),"CA 19-9")</f>
        <v>CA 19-9</v>
      </c>
      <c r="B97" s="25" t="s">
        <v>52</v>
      </c>
      <c r="C97" s="24" t="s">
        <v>44</v>
      </c>
      <c r="D97" s="25" t="s">
        <v>37</v>
      </c>
      <c r="E97" s="25" t="s">
        <v>38</v>
      </c>
      <c r="F97" s="26" t="s">
        <v>45</v>
      </c>
      <c r="G97" s="26" t="s">
        <v>40</v>
      </c>
    </row>
    <row r="98" spans="1:7" ht="20.100000000000001" customHeight="1">
      <c r="A98" s="24" t="str">
        <f ca="1">IFERROR(__xludf.DUMMYFUNCTION("""COMPUTED_VALUE"""),"CEA (karsinoembrional antigen)")</f>
        <v>CEA (karsinoembrional antigen)</v>
      </c>
      <c r="B98" s="25" t="s">
        <v>52</v>
      </c>
      <c r="C98" s="24" t="s">
        <v>44</v>
      </c>
      <c r="D98" s="25" t="s">
        <v>37</v>
      </c>
      <c r="E98" s="25" t="s">
        <v>38</v>
      </c>
      <c r="F98" s="26" t="s">
        <v>45</v>
      </c>
      <c r="G98" s="26" t="s">
        <v>40</v>
      </c>
    </row>
    <row r="99" spans="1:7" ht="20.100000000000001" customHeight="1">
      <c r="A99" s="24" t="str">
        <f ca="1">IFERROR(__xludf.DUMMYFUNCTION("""COMPUTED_VALUE"""),"PSA ümumi")</f>
        <v>PSA ümumi</v>
      </c>
      <c r="B99" s="25" t="s">
        <v>52</v>
      </c>
      <c r="C99" s="24" t="s">
        <v>44</v>
      </c>
      <c r="D99" s="25" t="s">
        <v>37</v>
      </c>
      <c r="E99" s="25" t="s">
        <v>38</v>
      </c>
      <c r="F99" s="26" t="s">
        <v>45</v>
      </c>
      <c r="G99" s="26" t="s">
        <v>40</v>
      </c>
    </row>
    <row r="100" spans="1:7" ht="20.100000000000001" customHeight="1">
      <c r="A100" s="28" t="s">
        <v>24</v>
      </c>
      <c r="B100" s="25"/>
      <c r="C100" s="24"/>
      <c r="D100" s="25"/>
      <c r="E100" s="25"/>
      <c r="F100" s="26"/>
      <c r="G100" s="26"/>
    </row>
    <row r="101" spans="1:7" ht="20.100000000000001" customHeight="1">
      <c r="A101" s="24" t="str">
        <f ca="1">IFERROR(__xludf.DUMMYFUNCTION("""COMPUTED_VALUE"""),"ASO antistreptolizin-o")</f>
        <v>ASO antistreptolizin-o</v>
      </c>
      <c r="B101" s="25" t="s">
        <v>35</v>
      </c>
      <c r="C101" s="24" t="s">
        <v>44</v>
      </c>
      <c r="D101" s="25" t="s">
        <v>37</v>
      </c>
      <c r="E101" s="25" t="s">
        <v>42</v>
      </c>
      <c r="F101" s="26" t="s">
        <v>45</v>
      </c>
      <c r="G101" s="26" t="s">
        <v>40</v>
      </c>
    </row>
    <row r="102" spans="1:7" ht="20.100000000000001" customHeight="1">
      <c r="A102" s="24" t="str">
        <f ca="1">IFERROR(__xludf.DUMMYFUNCTION("""COMPUTED_VALUE"""),"CRP C-reaktiv zülal")</f>
        <v>CRP C-reaktiv zülal</v>
      </c>
      <c r="B102" s="25" t="s">
        <v>35</v>
      </c>
      <c r="C102" s="24" t="s">
        <v>44</v>
      </c>
      <c r="D102" s="25" t="s">
        <v>37</v>
      </c>
      <c r="E102" s="25" t="s">
        <v>42</v>
      </c>
      <c r="F102" s="26" t="s">
        <v>45</v>
      </c>
      <c r="G102" s="26" t="s">
        <v>40</v>
      </c>
    </row>
    <row r="103" spans="1:7" ht="20.100000000000001" customHeight="1">
      <c r="A103" s="24" t="str">
        <f ca="1">IFERROR(__xludf.DUMMYFUNCTION("""COMPUTED_VALUE"""),"Procalsitonin")</f>
        <v>Procalsitonin</v>
      </c>
      <c r="B103" s="25" t="s">
        <v>52</v>
      </c>
      <c r="C103" s="24" t="s">
        <v>44</v>
      </c>
      <c r="D103" s="25" t="s">
        <v>37</v>
      </c>
      <c r="E103" s="25" t="s">
        <v>38</v>
      </c>
      <c r="F103" s="26" t="s">
        <v>45</v>
      </c>
      <c r="G103" s="26" t="s">
        <v>40</v>
      </c>
    </row>
    <row r="104" spans="1:7" ht="20.100000000000001" customHeight="1">
      <c r="A104" s="24" t="str">
        <f ca="1">IFERROR(__xludf.DUMMYFUNCTION("""COMPUTED_VALUE"""),"RF revmatoid faktor")</f>
        <v>RF revmatoid faktor</v>
      </c>
      <c r="B104" s="25" t="s">
        <v>35</v>
      </c>
      <c r="C104" s="24" t="s">
        <v>44</v>
      </c>
      <c r="D104" s="25" t="s">
        <v>37</v>
      </c>
      <c r="E104" s="25" t="s">
        <v>42</v>
      </c>
      <c r="F104" s="26" t="s">
        <v>45</v>
      </c>
      <c r="G104" s="26" t="s">
        <v>40</v>
      </c>
    </row>
    <row r="105" spans="1:7" ht="20.100000000000001" customHeight="1">
      <c r="A105" s="24" t="s">
        <v>25</v>
      </c>
      <c r="B105" s="25"/>
      <c r="C105" s="24"/>
      <c r="D105" s="25"/>
      <c r="E105" s="25"/>
      <c r="F105" s="26"/>
      <c r="G105" s="26"/>
    </row>
    <row r="106" spans="1:7" ht="20.100000000000001" customHeight="1">
      <c r="A106" s="24" t="str">
        <f ca="1">IFERROR(__xludf.DUMMYFUNCTION("""COMPUTED_VALUE"""),"Anti CCP")</f>
        <v>Anti CCP</v>
      </c>
      <c r="B106" s="25" t="s">
        <v>52</v>
      </c>
      <c r="C106" s="24" t="s">
        <v>44</v>
      </c>
      <c r="D106" s="25" t="s">
        <v>37</v>
      </c>
      <c r="E106" s="25" t="s">
        <v>38</v>
      </c>
      <c r="F106" s="26" t="s">
        <v>48</v>
      </c>
      <c r="G106" s="26" t="s">
        <v>40</v>
      </c>
    </row>
    <row r="107" spans="1:7" ht="20.100000000000001" customHeight="1">
      <c r="A107" s="28" t="s">
        <v>26</v>
      </c>
      <c r="B107" s="25"/>
      <c r="C107" s="24"/>
      <c r="D107" s="25"/>
      <c r="E107" s="25"/>
      <c r="F107" s="26"/>
      <c r="G107" s="26"/>
    </row>
    <row r="108" spans="1:7" ht="20.100000000000001" customHeight="1">
      <c r="A108" s="24" t="str">
        <f ca="1">IFERROR(__xludf.DUMMYFUNCTION("""COMPUTED_VALUE"""),"25-OH Vitamin D")</f>
        <v>25-OH Vitamin D</v>
      </c>
      <c r="B108" s="25" t="s">
        <v>52</v>
      </c>
      <c r="C108" s="24" t="s">
        <v>44</v>
      </c>
      <c r="D108" s="25" t="s">
        <v>37</v>
      </c>
      <c r="E108" s="25" t="s">
        <v>38</v>
      </c>
      <c r="F108" s="26" t="s">
        <v>56</v>
      </c>
      <c r="G108" s="26" t="s">
        <v>40</v>
      </c>
    </row>
    <row r="109" spans="1:7" ht="20.100000000000001" customHeight="1">
      <c r="A109" s="24" t="str">
        <f ca="1">IFERROR(__xludf.DUMMYFUNCTION("""COMPUTED_VALUE"""),"Fol turşusu (B9)")</f>
        <v>Fol turşusu (B9)</v>
      </c>
      <c r="B109" s="25" t="s">
        <v>52</v>
      </c>
      <c r="C109" s="24" t="s">
        <v>44</v>
      </c>
      <c r="D109" s="25" t="s">
        <v>37</v>
      </c>
      <c r="E109" s="25" t="s">
        <v>38</v>
      </c>
      <c r="F109" s="26" t="s">
        <v>45</v>
      </c>
      <c r="G109" s="26" t="s">
        <v>40</v>
      </c>
    </row>
    <row r="110" spans="1:7" ht="20.100000000000001" customHeight="1">
      <c r="A110" s="24" t="str">
        <f ca="1">IFERROR(__xludf.DUMMYFUNCTION("""COMPUTED_VALUE"""),"Vitamin B-12")</f>
        <v>Vitamin B-12</v>
      </c>
      <c r="B110" s="25" t="s">
        <v>52</v>
      </c>
      <c r="C110" s="24" t="s">
        <v>44</v>
      </c>
      <c r="D110" s="25" t="s">
        <v>37</v>
      </c>
      <c r="E110" s="25" t="s">
        <v>38</v>
      </c>
      <c r="F110" s="26" t="s">
        <v>45</v>
      </c>
      <c r="G110" s="26" t="s">
        <v>40</v>
      </c>
    </row>
    <row r="111" spans="1:7" ht="20.100000000000001" customHeight="1">
      <c r="A111" s="28" t="s">
        <v>27</v>
      </c>
      <c r="B111" s="25"/>
      <c r="C111" s="24"/>
      <c r="D111" s="25"/>
      <c r="E111" s="25"/>
      <c r="F111" s="26"/>
      <c r="G111" s="26"/>
    </row>
    <row r="112" spans="1:7" ht="20.100000000000001" customHeight="1">
      <c r="A112" s="24" t="str">
        <f ca="1">IFERROR(__xludf.DUMMYFUNCTION("""COMPUTED_VALUE"""),"Kreatinfosfokinaza")</f>
        <v>Kreatinfosfokinaza</v>
      </c>
      <c r="B112" s="25" t="s">
        <v>35</v>
      </c>
      <c r="C112" s="24" t="s">
        <v>44</v>
      </c>
      <c r="D112" s="25" t="s">
        <v>37</v>
      </c>
      <c r="E112" s="25" t="s">
        <v>42</v>
      </c>
      <c r="F112" s="26" t="s">
        <v>45</v>
      </c>
      <c r="G112" s="26" t="s">
        <v>40</v>
      </c>
    </row>
    <row r="113" spans="1:7" ht="20.100000000000001" customHeight="1">
      <c r="A113" s="24" t="str">
        <f ca="1">IFERROR(__xludf.DUMMYFUNCTION("""COMPUTED_VALUE"""),"Kreatinkinaza CK-MB frak.")</f>
        <v>Kreatinkinaza CK-MB frak.</v>
      </c>
      <c r="B113" s="25" t="s">
        <v>35</v>
      </c>
      <c r="C113" s="24" t="s">
        <v>44</v>
      </c>
      <c r="D113" s="25" t="s">
        <v>37</v>
      </c>
      <c r="E113" s="25" t="s">
        <v>42</v>
      </c>
      <c r="F113" s="26" t="s">
        <v>45</v>
      </c>
      <c r="G113" s="26" t="s">
        <v>40</v>
      </c>
    </row>
    <row r="114" spans="1:7" ht="20.100000000000001" customHeight="1">
      <c r="A114" s="24" t="s">
        <v>8</v>
      </c>
      <c r="B114" s="25" t="s">
        <v>52</v>
      </c>
      <c r="C114" s="24" t="s">
        <v>44</v>
      </c>
      <c r="D114" s="25" t="s">
        <v>37</v>
      </c>
      <c r="E114" s="25" t="s">
        <v>57</v>
      </c>
      <c r="F114" s="26" t="s">
        <v>45</v>
      </c>
      <c r="G114" s="26" t="s">
        <v>40</v>
      </c>
    </row>
    <row r="115" spans="1:7" ht="20.100000000000001" customHeight="1">
      <c r="A115" s="28" t="s">
        <v>28</v>
      </c>
      <c r="B115" s="25"/>
      <c r="C115" s="24"/>
      <c r="D115" s="25"/>
      <c r="E115" s="25"/>
      <c r="F115" s="26"/>
      <c r="G115" s="26"/>
    </row>
    <row r="116" spans="1:7" ht="20.100000000000001" customHeight="1">
      <c r="A116" s="24" t="str">
        <f ca="1">IFERROR(__xludf.DUMMYFUNCTION("""COMPUTED_VALUE"""),"APTT")</f>
        <v>APTT</v>
      </c>
      <c r="B116" s="25" t="s">
        <v>9</v>
      </c>
      <c r="C116" s="24" t="s">
        <v>58</v>
      </c>
      <c r="D116" s="25" t="s">
        <v>37</v>
      </c>
      <c r="E116" s="25" t="s">
        <v>42</v>
      </c>
      <c r="F116" s="26" t="s">
        <v>59</v>
      </c>
      <c r="G116" s="26" t="s">
        <v>40</v>
      </c>
    </row>
    <row r="117" spans="1:7" ht="20.100000000000001" customHeight="1">
      <c r="A117" s="24" t="str">
        <f ca="1">IFERROR(__xludf.DUMMYFUNCTION("""COMPUTED_VALUE"""),"D-dimer")</f>
        <v>D-dimer</v>
      </c>
      <c r="B117" s="25" t="s">
        <v>9</v>
      </c>
      <c r="C117" s="24" t="s">
        <v>58</v>
      </c>
      <c r="D117" s="25" t="s">
        <v>37</v>
      </c>
      <c r="E117" s="25" t="s">
        <v>38</v>
      </c>
      <c r="F117" s="26" t="s">
        <v>45</v>
      </c>
      <c r="G117" s="26" t="s">
        <v>40</v>
      </c>
    </row>
    <row r="118" spans="1:7" ht="20.100000000000001" customHeight="1">
      <c r="A118" s="24" t="str">
        <f ca="1">IFERROR(__xludf.DUMMYFUNCTION("""COMPUTED_VALUE"""),"Fibrinogen")</f>
        <v>Fibrinogen</v>
      </c>
      <c r="B118" s="25" t="s">
        <v>9</v>
      </c>
      <c r="C118" s="24" t="s">
        <v>58</v>
      </c>
      <c r="D118" s="25" t="s">
        <v>37</v>
      </c>
      <c r="E118" s="25" t="s">
        <v>42</v>
      </c>
      <c r="F118" s="26" t="s">
        <v>45</v>
      </c>
      <c r="G118" s="26" t="s">
        <v>40</v>
      </c>
    </row>
    <row r="119" spans="1:7" ht="20.100000000000001" customHeight="1">
      <c r="A119" s="24" t="str">
        <f ca="1">IFERROR(__xludf.DUMMYFUNCTION("""COMPUTED_VALUE"""),"Protrombin müddəti (İndeks +INR)")</f>
        <v>Protrombin müddəti (İndeks +INR)</v>
      </c>
      <c r="B119" s="25" t="s">
        <v>9</v>
      </c>
      <c r="C119" s="24" t="s">
        <v>58</v>
      </c>
      <c r="D119" s="25" t="s">
        <v>37</v>
      </c>
      <c r="E119" s="25" t="s">
        <v>42</v>
      </c>
      <c r="F119" s="26" t="s">
        <v>59</v>
      </c>
      <c r="G119" s="26" t="s">
        <v>40</v>
      </c>
    </row>
    <row r="120" spans="1:7" ht="20.100000000000001" customHeight="1">
      <c r="A120" s="24" t="str">
        <f ca="1">IFERROR(__xludf.DUMMYFUNCTION("""COMPUTED_VALUE"""),"Trombin müddəti")</f>
        <v>Trombin müddəti</v>
      </c>
      <c r="B120" s="25" t="s">
        <v>9</v>
      </c>
      <c r="C120" s="24" t="s">
        <v>58</v>
      </c>
      <c r="D120" s="25" t="s">
        <v>37</v>
      </c>
      <c r="E120" s="25" t="s">
        <v>42</v>
      </c>
      <c r="F120" s="26" t="s">
        <v>59</v>
      </c>
      <c r="G120" s="26" t="s">
        <v>40</v>
      </c>
    </row>
    <row r="121" spans="1:7" ht="20.100000000000001" customHeight="1">
      <c r="A121" s="28" t="s">
        <v>29</v>
      </c>
      <c r="B121" s="25"/>
      <c r="C121" s="24"/>
      <c r="D121" s="25"/>
      <c r="E121" s="25"/>
      <c r="F121" s="26"/>
      <c r="G121" s="26"/>
    </row>
    <row r="122" spans="1:7" ht="20.100000000000001" customHeight="1">
      <c r="A122" s="30" t="str">
        <f ca="1">IFERROR(__xludf.DUMMYFUNCTION("""COMPUTED_VALUE"""),"Anti HCV")</f>
        <v>Anti HCV</v>
      </c>
      <c r="B122" s="25" t="s">
        <v>52</v>
      </c>
      <c r="C122" s="24" t="s">
        <v>44</v>
      </c>
      <c r="D122" s="25" t="s">
        <v>37</v>
      </c>
      <c r="E122" s="25" t="s">
        <v>38</v>
      </c>
      <c r="F122" s="26" t="s">
        <v>48</v>
      </c>
      <c r="G122" s="26" t="s">
        <v>40</v>
      </c>
    </row>
    <row r="123" spans="1:7" ht="20.100000000000001" customHeight="1">
      <c r="A123" s="30" t="str">
        <f ca="1">IFERROR(__xludf.DUMMYFUNCTION("""COMPUTED_VALUE"""),"Anti-HBc İgM")</f>
        <v>Anti-HBc İgM</v>
      </c>
      <c r="B123" s="25" t="s">
        <v>52</v>
      </c>
      <c r="C123" s="24" t="s">
        <v>44</v>
      </c>
      <c r="D123" s="25" t="s">
        <v>37</v>
      </c>
      <c r="E123" s="25" t="s">
        <v>38</v>
      </c>
      <c r="F123" s="26" t="s">
        <v>48</v>
      </c>
      <c r="G123" s="26" t="s">
        <v>40</v>
      </c>
    </row>
    <row r="124" spans="1:7" ht="20.100000000000001" customHeight="1">
      <c r="A124" s="30" t="str">
        <f ca="1">IFERROR(__xludf.DUMMYFUNCTION("""COMPUTED_VALUE"""),"Anti-HBe")</f>
        <v>Anti-HBe</v>
      </c>
      <c r="B124" s="25" t="s">
        <v>52</v>
      </c>
      <c r="C124" s="24" t="s">
        <v>44</v>
      </c>
      <c r="D124" s="25" t="s">
        <v>37</v>
      </c>
      <c r="E124" s="25" t="s">
        <v>38</v>
      </c>
      <c r="F124" s="26" t="s">
        <v>48</v>
      </c>
      <c r="G124" s="26" t="s">
        <v>40</v>
      </c>
    </row>
    <row r="125" spans="1:7" ht="20.100000000000001" customHeight="1">
      <c r="A125" s="30" t="str">
        <f ca="1">IFERROR(__xludf.DUMMYFUNCTION("""COMPUTED_VALUE"""),"Anti-HBs (HbsAb)")</f>
        <v>Anti-HBs (HbsAb)</v>
      </c>
      <c r="B125" s="25" t="s">
        <v>52</v>
      </c>
      <c r="C125" s="24" t="s">
        <v>44</v>
      </c>
      <c r="D125" s="25" t="s">
        <v>37</v>
      </c>
      <c r="E125" s="25" t="s">
        <v>38</v>
      </c>
      <c r="F125" s="26" t="s">
        <v>48</v>
      </c>
      <c r="G125" s="26" t="s">
        <v>40</v>
      </c>
    </row>
    <row r="126" spans="1:7" ht="20.100000000000001" customHeight="1">
      <c r="A126" s="30" t="str">
        <f ca="1">IFERROR(__xludf.DUMMYFUNCTION("""COMPUTED_VALUE"""),"Anti-HİV (express)")</f>
        <v>Anti-HİV (express)</v>
      </c>
      <c r="B126" s="25" t="s">
        <v>60</v>
      </c>
      <c r="C126" s="24" t="s">
        <v>44</v>
      </c>
      <c r="D126" s="25" t="s">
        <v>37</v>
      </c>
      <c r="E126" s="25" t="s">
        <v>42</v>
      </c>
      <c r="F126" s="26" t="s">
        <v>45</v>
      </c>
      <c r="G126" s="26" t="s">
        <v>40</v>
      </c>
    </row>
    <row r="127" spans="1:7" ht="20.100000000000001" customHeight="1">
      <c r="A127" s="30" t="str">
        <f ca="1">IFERROR(__xludf.DUMMYFUNCTION("""COMPUTED_VALUE"""),"HAV İqM")</f>
        <v>HAV İqM</v>
      </c>
      <c r="B127" s="25" t="s">
        <v>52</v>
      </c>
      <c r="C127" s="24" t="s">
        <v>44</v>
      </c>
      <c r="D127" s="25" t="s">
        <v>37</v>
      </c>
      <c r="E127" s="25" t="s">
        <v>38</v>
      </c>
      <c r="F127" s="26" t="s">
        <v>45</v>
      </c>
      <c r="G127" s="26" t="s">
        <v>40</v>
      </c>
    </row>
    <row r="128" spans="1:7" ht="20.100000000000001" customHeight="1">
      <c r="A128" s="24" t="str">
        <f ca="1">IFERROR(__xludf.DUMMYFUNCTION("""COMPUTED_VALUE"""),"HAV total")</f>
        <v>HAV total</v>
      </c>
      <c r="B128" s="25" t="s">
        <v>52</v>
      </c>
      <c r="C128" s="24" t="s">
        <v>44</v>
      </c>
      <c r="D128" s="25" t="s">
        <v>37</v>
      </c>
      <c r="E128" s="25" t="s">
        <v>38</v>
      </c>
      <c r="F128" s="26" t="s">
        <v>45</v>
      </c>
      <c r="G128" s="26" t="s">
        <v>40</v>
      </c>
    </row>
    <row r="129" spans="1:7" ht="20.100000000000001" customHeight="1">
      <c r="A129" s="24" t="str">
        <f ca="1">IFERROR(__xludf.DUMMYFUNCTION("""COMPUTED_VALUE"""),"HBc Ab (Total)")</f>
        <v>HBc Ab (Total)</v>
      </c>
      <c r="B129" s="25" t="s">
        <v>52</v>
      </c>
      <c r="C129" s="24" t="s">
        <v>44</v>
      </c>
      <c r="D129" s="25" t="s">
        <v>37</v>
      </c>
      <c r="E129" s="25" t="s">
        <v>38</v>
      </c>
      <c r="F129" s="26" t="s">
        <v>45</v>
      </c>
      <c r="G129" s="26" t="s">
        <v>40</v>
      </c>
    </row>
    <row r="130" spans="1:7" ht="20.100000000000001" customHeight="1">
      <c r="A130" s="24" t="str">
        <f ca="1">IFERROR(__xludf.DUMMYFUNCTION("""COMPUTED_VALUE"""),"HBeAg")</f>
        <v>HBeAg</v>
      </c>
      <c r="B130" s="25" t="s">
        <v>52</v>
      </c>
      <c r="C130" s="24" t="s">
        <v>44</v>
      </c>
      <c r="D130" s="25" t="s">
        <v>37</v>
      </c>
      <c r="E130" s="25" t="s">
        <v>38</v>
      </c>
      <c r="F130" s="26" t="s">
        <v>45</v>
      </c>
      <c r="G130" s="26" t="s">
        <v>40</v>
      </c>
    </row>
    <row r="131" spans="1:7" ht="20.100000000000001" customHeight="1">
      <c r="A131" s="24" t="str">
        <f ca="1">IFERROR(__xludf.DUMMYFUNCTION("""COMPUTED_VALUE"""),"HBsAg")</f>
        <v>HBsAg</v>
      </c>
      <c r="B131" s="25" t="s">
        <v>52</v>
      </c>
      <c r="C131" s="24" t="s">
        <v>44</v>
      </c>
      <c r="D131" s="25" t="s">
        <v>37</v>
      </c>
      <c r="E131" s="25" t="s">
        <v>38</v>
      </c>
      <c r="F131" s="26" t="s">
        <v>45</v>
      </c>
      <c r="G131" s="26" t="s">
        <v>40</v>
      </c>
    </row>
    <row r="132" spans="1:7" ht="20.100000000000001" customHeight="1">
      <c r="A132" s="24" t="str">
        <f ca="1">IFERROR(__xludf.DUMMYFUNCTION("""COMPUTED_VALUE"""),"HBsAg- (express)")</f>
        <v>HBsAg- (express)</v>
      </c>
      <c r="B132" s="25" t="s">
        <v>60</v>
      </c>
      <c r="C132" s="24" t="s">
        <v>44</v>
      </c>
      <c r="D132" s="25" t="s">
        <v>37</v>
      </c>
      <c r="E132" s="25" t="s">
        <v>42</v>
      </c>
      <c r="F132" s="26" t="s">
        <v>45</v>
      </c>
      <c r="G132" s="26" t="s">
        <v>40</v>
      </c>
    </row>
    <row r="133" spans="1:7" ht="20.100000000000001" customHeight="1">
      <c r="A133" s="28" t="s">
        <v>30</v>
      </c>
      <c r="B133" s="25"/>
      <c r="C133" s="24"/>
      <c r="D133" s="25"/>
      <c r="E133" s="25"/>
      <c r="F133" s="26"/>
      <c r="G133" s="26"/>
    </row>
    <row r="134" spans="1:7" ht="20.100000000000001" customHeight="1">
      <c r="A134" s="24" t="str">
        <f ca="1">IFERROR(__xludf.DUMMYFUNCTION("""COMPUTED_VALUE"""),"Chlamydia tr. İgM")</f>
        <v>Chlamydia tr. İgM</v>
      </c>
      <c r="B134" s="25" t="s">
        <v>52</v>
      </c>
      <c r="C134" s="24" t="s">
        <v>44</v>
      </c>
      <c r="D134" s="25" t="s">
        <v>37</v>
      </c>
      <c r="E134" s="32" t="s">
        <v>10</v>
      </c>
      <c r="F134" s="26" t="s">
        <v>45</v>
      </c>
      <c r="G134" s="26" t="s">
        <v>40</v>
      </c>
    </row>
    <row r="135" spans="1:7" ht="20.100000000000001" customHeight="1">
      <c r="A135" s="24" t="str">
        <f ca="1">IFERROR(__xludf.DUMMYFUNCTION("""COMPUTED_VALUE"""),"Chlamydia tr.İgG")</f>
        <v>Chlamydia tr.İgG</v>
      </c>
      <c r="B135" s="25" t="s">
        <v>52</v>
      </c>
      <c r="C135" s="24" t="s">
        <v>44</v>
      </c>
      <c r="D135" s="25" t="s">
        <v>37</v>
      </c>
      <c r="E135" s="32" t="s">
        <v>10</v>
      </c>
      <c r="F135" s="26" t="s">
        <v>45</v>
      </c>
      <c r="G135" s="26" t="s">
        <v>40</v>
      </c>
    </row>
    <row r="136" spans="1:7" ht="20.100000000000001" customHeight="1">
      <c r="A136" s="24" t="str">
        <f ca="1">IFERROR(__xludf.DUMMYFUNCTION("""COMPUTED_VALUE"""),"Herpes simpleks I IqG")</f>
        <v>Herpes simpleks I IqG</v>
      </c>
      <c r="B136" s="25" t="s">
        <v>52</v>
      </c>
      <c r="C136" s="24" t="s">
        <v>44</v>
      </c>
      <c r="D136" s="25" t="s">
        <v>37</v>
      </c>
      <c r="E136" s="32" t="s">
        <v>10</v>
      </c>
      <c r="F136" s="26" t="s">
        <v>45</v>
      </c>
      <c r="G136" s="26" t="s">
        <v>40</v>
      </c>
    </row>
    <row r="137" spans="1:7" ht="20.100000000000001" customHeight="1">
      <c r="A137" s="24" t="str">
        <f ca="1">IFERROR(__xludf.DUMMYFUNCTION("""COMPUTED_VALUE"""),"Herpes simpleks I IqM")</f>
        <v>Herpes simpleks I IqM</v>
      </c>
      <c r="B137" s="25" t="s">
        <v>52</v>
      </c>
      <c r="C137" s="24" t="s">
        <v>44</v>
      </c>
      <c r="D137" s="25" t="s">
        <v>37</v>
      </c>
      <c r="E137" s="32" t="s">
        <v>10</v>
      </c>
      <c r="F137" s="26" t="s">
        <v>45</v>
      </c>
      <c r="G137" s="26" t="s">
        <v>40</v>
      </c>
    </row>
    <row r="138" spans="1:7" ht="20.100000000000001" customHeight="1">
      <c r="A138" s="24" t="str">
        <f ca="1">IFERROR(__xludf.DUMMYFUNCTION("""COMPUTED_VALUE"""),"Herpes simpleks II IqG")</f>
        <v>Herpes simpleks II IqG</v>
      </c>
      <c r="B138" s="25" t="s">
        <v>52</v>
      </c>
      <c r="C138" s="24" t="s">
        <v>44</v>
      </c>
      <c r="D138" s="25" t="s">
        <v>37</v>
      </c>
      <c r="E138" s="32" t="s">
        <v>10</v>
      </c>
      <c r="F138" s="26" t="s">
        <v>45</v>
      </c>
      <c r="G138" s="26" t="s">
        <v>40</v>
      </c>
    </row>
    <row r="139" spans="1:7" ht="20.100000000000001" customHeight="1">
      <c r="A139" s="24" t="str">
        <f ca="1">IFERROR(__xludf.DUMMYFUNCTION("""COMPUTED_VALUE"""),"Herpes simpleks II IqM")</f>
        <v>Herpes simpleks II IqM</v>
      </c>
      <c r="B139" s="25" t="s">
        <v>52</v>
      </c>
      <c r="C139" s="24" t="s">
        <v>44</v>
      </c>
      <c r="D139" s="25" t="s">
        <v>37</v>
      </c>
      <c r="E139" s="32" t="s">
        <v>10</v>
      </c>
      <c r="F139" s="26" t="s">
        <v>45</v>
      </c>
      <c r="G139" s="26" t="s">
        <v>40</v>
      </c>
    </row>
    <row r="140" spans="1:7" ht="20.100000000000001" customHeight="1">
      <c r="A140" s="24" t="str">
        <f ca="1">IFERROR(__xludf.DUMMYFUNCTION("""COMPUTED_VALUE"""),"Mycoplasma hominis İqG")</f>
        <v>Mycoplasma hominis İqG</v>
      </c>
      <c r="B140" s="25" t="s">
        <v>52</v>
      </c>
      <c r="C140" s="24" t="s">
        <v>44</v>
      </c>
      <c r="D140" s="25" t="s">
        <v>37</v>
      </c>
      <c r="E140" s="32" t="s">
        <v>10</v>
      </c>
      <c r="F140" s="26" t="s">
        <v>45</v>
      </c>
      <c r="G140" s="26" t="s">
        <v>40</v>
      </c>
    </row>
    <row r="141" spans="1:7" ht="20.100000000000001" customHeight="1">
      <c r="A141" s="24" t="str">
        <f ca="1">IFERROR(__xludf.DUMMYFUNCTION("""COMPUTED_VALUE"""),"Məxmərək (Rubella) İgG")</f>
        <v>Məxmərək (Rubella) İgG</v>
      </c>
      <c r="B141" s="25" t="s">
        <v>52</v>
      </c>
      <c r="C141" s="24" t="s">
        <v>44</v>
      </c>
      <c r="D141" s="25" t="s">
        <v>37</v>
      </c>
      <c r="E141" s="25" t="s">
        <v>38</v>
      </c>
      <c r="F141" s="26" t="s">
        <v>61</v>
      </c>
      <c r="G141" s="26" t="s">
        <v>40</v>
      </c>
    </row>
    <row r="142" spans="1:7" ht="20.100000000000001" customHeight="1">
      <c r="A142" s="24" t="str">
        <f ca="1">IFERROR(__xludf.DUMMYFUNCTION("""COMPUTED_VALUE"""),"Məxmərək (Rubella) İgM")</f>
        <v>Məxmərək (Rubella) İgM</v>
      </c>
      <c r="B142" s="25" t="s">
        <v>52</v>
      </c>
      <c r="C142" s="24" t="s">
        <v>44</v>
      </c>
      <c r="D142" s="25" t="s">
        <v>37</v>
      </c>
      <c r="E142" s="25" t="s">
        <v>38</v>
      </c>
      <c r="F142" s="26" t="s">
        <v>62</v>
      </c>
      <c r="G142" s="26" t="s">
        <v>40</v>
      </c>
    </row>
    <row r="143" spans="1:7" ht="20.100000000000001" customHeight="1">
      <c r="A143" s="24" t="str">
        <f ca="1">IFERROR(__xludf.DUMMYFUNCTION("""COMPUTED_VALUE"""),"Rubella İgG")</f>
        <v>Rubella İgG</v>
      </c>
      <c r="B143" s="25" t="s">
        <v>52</v>
      </c>
      <c r="C143" s="24" t="s">
        <v>44</v>
      </c>
      <c r="D143" s="25" t="s">
        <v>37</v>
      </c>
      <c r="E143" s="25" t="s">
        <v>38</v>
      </c>
      <c r="F143" s="26" t="s">
        <v>45</v>
      </c>
      <c r="G143" s="26" t="s">
        <v>40</v>
      </c>
    </row>
    <row r="144" spans="1:7" ht="20.100000000000001" customHeight="1">
      <c r="A144" s="24" t="str">
        <f ca="1">IFERROR(__xludf.DUMMYFUNCTION("""COMPUTED_VALUE"""),"Rubella İgM")</f>
        <v>Rubella İgM</v>
      </c>
      <c r="B144" s="25" t="s">
        <v>52</v>
      </c>
      <c r="C144" s="24" t="s">
        <v>44</v>
      </c>
      <c r="D144" s="25" t="s">
        <v>37</v>
      </c>
      <c r="E144" s="25" t="s">
        <v>38</v>
      </c>
      <c r="F144" s="26" t="s">
        <v>45</v>
      </c>
      <c r="G144" s="26" t="s">
        <v>40</v>
      </c>
    </row>
    <row r="145" spans="1:7" ht="20.100000000000001" customHeight="1">
      <c r="A145" s="24" t="str">
        <f ca="1">IFERROR(__xludf.DUMMYFUNCTION("""COMPUTED_VALUE"""),"Sifilis (express)")</f>
        <v>Sifilis (express)</v>
      </c>
      <c r="B145" s="25" t="s">
        <v>60</v>
      </c>
      <c r="C145" s="24" t="s">
        <v>44</v>
      </c>
      <c r="D145" s="25" t="s">
        <v>37</v>
      </c>
      <c r="E145" s="25" t="s">
        <v>42</v>
      </c>
      <c r="F145" s="26" t="s">
        <v>45</v>
      </c>
      <c r="G145" s="26" t="s">
        <v>40</v>
      </c>
    </row>
    <row r="146" spans="1:7" ht="20.100000000000001" customHeight="1">
      <c r="A146" s="24" t="str">
        <f ca="1">IFERROR(__xludf.DUMMYFUNCTION("""COMPUTED_VALUE"""),"Sitomeqalovirus (CMV) İgG")</f>
        <v>Sitomeqalovirus (CMV) İgG</v>
      </c>
      <c r="B146" s="25" t="s">
        <v>52</v>
      </c>
      <c r="C146" s="24" t="s">
        <v>44</v>
      </c>
      <c r="D146" s="25" t="s">
        <v>37</v>
      </c>
      <c r="E146" s="25" t="s">
        <v>38</v>
      </c>
      <c r="F146" s="26" t="s">
        <v>63</v>
      </c>
      <c r="G146" s="26" t="s">
        <v>40</v>
      </c>
    </row>
    <row r="147" spans="1:7" ht="20.100000000000001" customHeight="1">
      <c r="A147" s="24" t="str">
        <f ca="1">IFERROR(__xludf.DUMMYFUNCTION("""COMPUTED_VALUE"""),"Sitomeqalovirus (CMV) İgM")</f>
        <v>Sitomeqalovirus (CMV) İgM</v>
      </c>
      <c r="B147" s="25" t="s">
        <v>52</v>
      </c>
      <c r="C147" s="24" t="s">
        <v>44</v>
      </c>
      <c r="D147" s="25" t="s">
        <v>37</v>
      </c>
      <c r="E147" s="25" t="s">
        <v>38</v>
      </c>
      <c r="F147" s="26" t="s">
        <v>64</v>
      </c>
      <c r="G147" s="26" t="s">
        <v>40</v>
      </c>
    </row>
    <row r="148" spans="1:7" ht="20.100000000000001" customHeight="1">
      <c r="A148" s="24" t="str">
        <f ca="1">IFERROR(__xludf.DUMMYFUNCTION("""COMPUTED_VALUE"""),"Toksoplazma İqG")</f>
        <v>Toksoplazma İqG</v>
      </c>
      <c r="B148" s="25" t="s">
        <v>52</v>
      </c>
      <c r="C148" s="24" t="s">
        <v>44</v>
      </c>
      <c r="D148" s="25" t="s">
        <v>37</v>
      </c>
      <c r="E148" s="25" t="s">
        <v>38</v>
      </c>
      <c r="F148" s="26" t="s">
        <v>45</v>
      </c>
      <c r="G148" s="26" t="s">
        <v>40</v>
      </c>
    </row>
    <row r="149" spans="1:7" ht="20.100000000000001" customHeight="1">
      <c r="A149" s="24" t="str">
        <f ca="1">IFERROR(__xludf.DUMMYFUNCTION("""COMPUTED_VALUE"""),"Toksoplazma İqM")</f>
        <v>Toksoplazma İqM</v>
      </c>
      <c r="B149" s="25" t="s">
        <v>52</v>
      </c>
      <c r="C149" s="24" t="s">
        <v>44</v>
      </c>
      <c r="D149" s="25" t="s">
        <v>37</v>
      </c>
      <c r="E149" s="25" t="s">
        <v>38</v>
      </c>
      <c r="F149" s="26" t="s">
        <v>45</v>
      </c>
      <c r="G149" s="26" t="s">
        <v>40</v>
      </c>
    </row>
    <row r="150" spans="1:7" ht="20.100000000000001" customHeight="1">
      <c r="A150" s="24" t="str">
        <f ca="1">IFERROR(__xludf.DUMMYFUNCTION("""COMPUTED_VALUE"""),"Treponema pallidum İgG + İgM")</f>
        <v>Treponema pallidum İgG + İgM</v>
      </c>
      <c r="B150" s="25" t="s">
        <v>52</v>
      </c>
      <c r="C150" s="24" t="s">
        <v>44</v>
      </c>
      <c r="D150" s="25" t="s">
        <v>37</v>
      </c>
      <c r="E150" s="25" t="s">
        <v>38</v>
      </c>
      <c r="F150" s="26" t="s">
        <v>45</v>
      </c>
      <c r="G150" s="26" t="s">
        <v>40</v>
      </c>
    </row>
    <row r="151" spans="1:7" ht="20.100000000000001" customHeight="1">
      <c r="A151" s="24" t="str">
        <f ca="1">IFERROR(__xludf.DUMMYFUNCTION("""COMPUTED_VALUE"""),"Brusella İgM")</f>
        <v>Brusella İgM</v>
      </c>
      <c r="B151" s="25" t="s">
        <v>52</v>
      </c>
      <c r="C151" s="24" t="s">
        <v>44</v>
      </c>
      <c r="D151" s="25" t="s">
        <v>37</v>
      </c>
      <c r="E151" s="34" t="s">
        <v>10</v>
      </c>
      <c r="F151" s="26" t="s">
        <v>45</v>
      </c>
      <c r="G151" s="26" t="s">
        <v>45</v>
      </c>
    </row>
    <row r="152" spans="1:7" ht="20.100000000000001" customHeight="1">
      <c r="A152" s="24" t="str">
        <f ca="1">IFERROR(__xludf.DUMMYFUNCTION("""COMPUTED_VALUE"""),"Brusella IqG")</f>
        <v>Brusella IqG</v>
      </c>
      <c r="B152" s="25" t="s">
        <v>52</v>
      </c>
      <c r="C152" s="24" t="s">
        <v>44</v>
      </c>
      <c r="D152" s="25" t="s">
        <v>37</v>
      </c>
      <c r="E152" s="34" t="s">
        <v>10</v>
      </c>
      <c r="F152" s="26" t="s">
        <v>45</v>
      </c>
      <c r="G152" s="26" t="s">
        <v>45</v>
      </c>
    </row>
    <row r="153" spans="1:7" ht="20.100000000000001" customHeight="1">
      <c r="A153" s="28" t="s">
        <v>31</v>
      </c>
      <c r="B153" s="25"/>
      <c r="C153" s="24"/>
      <c r="D153" s="25"/>
      <c r="E153" s="33"/>
      <c r="F153" s="24"/>
      <c r="G153" s="26"/>
    </row>
    <row r="154" spans="1:7" ht="20.100000000000001" customHeight="1">
      <c r="A154" s="24" t="str">
        <f ca="1">IFERROR(__xludf.DUMMYFUNCTION("""COMPUTED_VALUE"""),"H.Pylori Ig G")</f>
        <v>H.Pylori Ig G</v>
      </c>
      <c r="B154" s="25" t="s">
        <v>52</v>
      </c>
      <c r="C154" s="24" t="s">
        <v>44</v>
      </c>
      <c r="D154" s="25" t="s">
        <v>37</v>
      </c>
      <c r="E154" s="34" t="s">
        <v>10</v>
      </c>
      <c r="F154" s="26" t="s">
        <v>45</v>
      </c>
      <c r="G154" s="26" t="s">
        <v>40</v>
      </c>
    </row>
    <row r="155" spans="1:7" ht="20.100000000000001" customHeight="1">
      <c r="A155" s="24" t="str">
        <f ca="1">IFERROR(__xludf.DUMMYFUNCTION("""COMPUTED_VALUE"""),"H.Pylori İg M")</f>
        <v>H.Pylori İg M</v>
      </c>
      <c r="B155" s="25" t="s">
        <v>52</v>
      </c>
      <c r="C155" s="24" t="s">
        <v>44</v>
      </c>
      <c r="D155" s="25" t="s">
        <v>37</v>
      </c>
      <c r="E155" s="34" t="s">
        <v>10</v>
      </c>
      <c r="F155" s="26" t="s">
        <v>45</v>
      </c>
      <c r="G155" s="26" t="s">
        <v>40</v>
      </c>
    </row>
    <row r="156" spans="1:7" ht="20.100000000000001" customHeight="1">
      <c r="A156" s="24" t="s">
        <v>32</v>
      </c>
      <c r="B156" s="25"/>
      <c r="C156" s="24"/>
      <c r="D156" s="25"/>
      <c r="E156" s="33"/>
      <c r="F156" s="26"/>
      <c r="G156" s="26"/>
    </row>
    <row r="157" spans="1:7" ht="20.100000000000001" customHeight="1">
      <c r="A157" s="24" t="str">
        <f ca="1">IFERROR(__xludf.DUMMYFUNCTION("""COMPUTED_VALUE"""),"Ascaris lumbricoides İgG1")</f>
        <v>Ascaris lumbricoides İgG1</v>
      </c>
      <c r="B157" s="25" t="s">
        <v>52</v>
      </c>
      <c r="C157" s="24" t="s">
        <v>44</v>
      </c>
      <c r="D157" s="25" t="s">
        <v>37</v>
      </c>
      <c r="E157" s="34" t="s">
        <v>10</v>
      </c>
      <c r="F157" s="26" t="s">
        <v>45</v>
      </c>
      <c r="G157" s="26" t="s">
        <v>40</v>
      </c>
    </row>
    <row r="158" spans="1:7" ht="20.100000000000001" customHeight="1">
      <c r="A158" s="24" t="str">
        <f ca="1">IFERROR(__xludf.DUMMYFUNCTION("""COMPUTED_VALUE"""),"Ekspress üsulu ilə nəcisdə Lamblia Intestinalis antigeninin təyini")</f>
        <v>Ekspress üsulu ilə nəcisdə Lamblia Intestinalis antigeninin təyini</v>
      </c>
      <c r="B158" s="25" t="s">
        <v>60</v>
      </c>
      <c r="C158" s="24" t="s">
        <v>65</v>
      </c>
      <c r="D158" s="25" t="s">
        <v>37</v>
      </c>
      <c r="E158" s="33" t="s">
        <v>42</v>
      </c>
      <c r="F158" s="26" t="s">
        <v>66</v>
      </c>
      <c r="G158" s="26" t="s">
        <v>40</v>
      </c>
    </row>
    <row r="159" spans="1:7" ht="20.100000000000001" customHeight="1">
      <c r="A159" s="24" t="str">
        <f ca="1">IFERROR(__xludf.DUMMYFUNCTION("""COMPUTED_VALUE"""),"Lamblia Ig A")</f>
        <v>Lamblia Ig A</v>
      </c>
      <c r="B159" s="25" t="s">
        <v>52</v>
      </c>
      <c r="C159" s="24" t="s">
        <v>44</v>
      </c>
      <c r="D159" s="25" t="s">
        <v>37</v>
      </c>
      <c r="E159" s="34" t="s">
        <v>10</v>
      </c>
      <c r="F159" s="26" t="s">
        <v>45</v>
      </c>
      <c r="G159" s="26" t="s">
        <v>40</v>
      </c>
    </row>
    <row r="160" spans="1:7" ht="20.100000000000001" customHeight="1">
      <c r="A160" s="24" t="str">
        <f ca="1">IFERROR(__xludf.DUMMYFUNCTION("""COMPUTED_VALUE"""),"Lamblia Ig G")</f>
        <v>Lamblia Ig G</v>
      </c>
      <c r="B160" s="25" t="s">
        <v>52</v>
      </c>
      <c r="C160" s="24" t="s">
        <v>44</v>
      </c>
      <c r="D160" s="25" t="s">
        <v>37</v>
      </c>
      <c r="E160" s="34" t="s">
        <v>10</v>
      </c>
      <c r="F160" s="26" t="s">
        <v>45</v>
      </c>
      <c r="G160" s="26" t="s">
        <v>40</v>
      </c>
    </row>
    <row r="161" spans="1:7" ht="20.100000000000001" customHeight="1">
      <c r="A161" s="24" t="str">
        <f ca="1">IFERROR(__xludf.DUMMYFUNCTION("""COMPUTED_VALUE"""),"Lamblia Ig M")</f>
        <v>Lamblia Ig M</v>
      </c>
      <c r="B161" s="25" t="s">
        <v>52</v>
      </c>
      <c r="C161" s="24" t="s">
        <v>44</v>
      </c>
      <c r="D161" s="25" t="s">
        <v>37</v>
      </c>
      <c r="E161" s="34" t="s">
        <v>10</v>
      </c>
      <c r="F161" s="26" t="s">
        <v>45</v>
      </c>
      <c r="G161" s="26" t="s">
        <v>40</v>
      </c>
    </row>
    <row r="162" spans="1:7" ht="20.100000000000001" customHeight="1">
      <c r="A162" s="28" t="s">
        <v>33</v>
      </c>
      <c r="B162" s="25"/>
      <c r="C162" s="24"/>
      <c r="D162" s="25"/>
      <c r="E162" s="25"/>
      <c r="F162" s="26"/>
      <c r="G162" s="26"/>
    </row>
    <row r="163" spans="1:7" ht="20.100000000000001" customHeight="1">
      <c r="A163" s="24" t="str">
        <f ca="1">IFERROR(__xludf.DUMMYFUNCTION("""COMPUTED_VALUE"""),"Abortiv materialın bakterioloji müayinəsi")</f>
        <v>Abortiv materialın bakterioloji müayinəsi</v>
      </c>
      <c r="B163" s="25" t="s">
        <v>67</v>
      </c>
      <c r="C163" s="24" t="s">
        <v>68</v>
      </c>
      <c r="D163" s="25" t="s">
        <v>37</v>
      </c>
      <c r="E163" s="25" t="s">
        <v>69</v>
      </c>
      <c r="F163" s="26" t="s">
        <v>49</v>
      </c>
      <c r="G163" s="26"/>
    </row>
    <row r="164" spans="1:7" ht="15">
      <c r="A164" s="24" t="str">
        <f ca="1">IFERROR(__xludf.DUMMYFUNCTION("""COMPUTED_VALUE"""),"Abses möhtəviyyatnın əkilməsi")</f>
        <v>Abses möhtəviyyatnın əkilməsi</v>
      </c>
      <c r="B164" s="25" t="s">
        <v>67</v>
      </c>
      <c r="C164" s="24" t="s">
        <v>68</v>
      </c>
      <c r="D164" s="25" t="s">
        <v>37</v>
      </c>
      <c r="E164" s="25" t="s">
        <v>69</v>
      </c>
      <c r="F164" s="26" t="s">
        <v>48</v>
      </c>
      <c r="G164" s="26" t="s">
        <v>70</v>
      </c>
    </row>
    <row r="165" spans="1:7" ht="15">
      <c r="A165" s="24" t="str">
        <f ca="1">IFERROR(__xludf.DUMMYFUNCTION("""COMPUTED_VALUE"""),"Ana südünün bakterioloji müayinəsi (sağ sol)")</f>
        <v>Ana südünün bakterioloji müayinəsi (sağ sol)</v>
      </c>
      <c r="B165" s="25" t="s">
        <v>67</v>
      </c>
      <c r="C165" s="24" t="s">
        <v>68</v>
      </c>
      <c r="D165" s="25" t="s">
        <v>37</v>
      </c>
      <c r="E165" s="25" t="s">
        <v>69</v>
      </c>
      <c r="F165" s="26" t="s">
        <v>71</v>
      </c>
      <c r="G165" s="26" t="s">
        <v>70</v>
      </c>
    </row>
    <row r="166" spans="1:7" ht="15">
      <c r="A166" s="24" t="str">
        <f ca="1">IFERROR(__xludf.DUMMYFUNCTION("""COMPUTED_VALUE"""),"Assit mayesinin əkilməsi")</f>
        <v>Assit mayesinin əkilməsi</v>
      </c>
      <c r="B166" s="25" t="s">
        <v>67</v>
      </c>
      <c r="C166" s="24" t="s">
        <v>68</v>
      </c>
      <c r="D166" s="25" t="s">
        <v>37</v>
      </c>
      <c r="E166" s="25" t="s">
        <v>69</v>
      </c>
      <c r="F166" s="26"/>
      <c r="G166" s="26" t="s">
        <v>72</v>
      </c>
    </row>
    <row r="167" spans="1:7" ht="15">
      <c r="A167" s="24" t="str">
        <f ca="1">IFERROR(__xludf.DUMMYFUNCTION("""COMPUTED_VALUE"""),"Ağız boşluğundan sıyrıntının bakterioloji müayinəsi")</f>
        <v>Ağız boşluğundan sıyrıntının bakterioloji müayinəsi</v>
      </c>
      <c r="B167" s="25" t="s">
        <v>67</v>
      </c>
      <c r="C167" s="24" t="s">
        <v>73</v>
      </c>
      <c r="D167" s="25" t="s">
        <v>37</v>
      </c>
      <c r="E167" s="25" t="s">
        <v>69</v>
      </c>
      <c r="F167" s="26" t="s">
        <v>49</v>
      </c>
      <c r="G167" s="26" t="s">
        <v>70</v>
      </c>
    </row>
    <row r="168" spans="1:7" ht="15">
      <c r="A168" s="24" t="str">
        <f ca="1">IFERROR(__xludf.DUMMYFUNCTION("""COMPUTED_VALUE"""),"BAL (broxo-alveolyar lavaj) əkilməsi ekspress")</f>
        <v>BAL (broxo-alveolyar lavaj) əkilməsi ekspress</v>
      </c>
      <c r="B168" s="25" t="s">
        <v>67</v>
      </c>
      <c r="C168" s="24" t="s">
        <v>68</v>
      </c>
      <c r="D168" s="25" t="s">
        <v>37</v>
      </c>
      <c r="E168" s="25" t="s">
        <v>69</v>
      </c>
      <c r="F168" s="26"/>
      <c r="G168" s="26" t="s">
        <v>70</v>
      </c>
    </row>
    <row r="169" spans="1:7" ht="15">
      <c r="A169" s="24" t="str">
        <f ca="1">IFERROR(__xludf.DUMMYFUNCTION("""COMPUTED_VALUE"""),"Burun boşluğu sıyrıntının bakterioloji müayinəsi")</f>
        <v>Burun boşluğu sıyrıntının bakterioloji müayinəsi</v>
      </c>
      <c r="B169" s="25" t="s">
        <v>67</v>
      </c>
      <c r="C169" s="24" t="s">
        <v>73</v>
      </c>
      <c r="D169" s="25" t="s">
        <v>37</v>
      </c>
      <c r="E169" s="25" t="s">
        <v>69</v>
      </c>
      <c r="F169" s="26" t="s">
        <v>49</v>
      </c>
      <c r="G169" s="26" t="s">
        <v>70</v>
      </c>
    </row>
    <row r="170" spans="1:7" ht="15">
      <c r="A170" s="24" t="str">
        <f ca="1">IFERROR(__xludf.DUMMYFUNCTION("""COMPUTED_VALUE"""),"Bəlğəmin bakterioloji müayinəsi")</f>
        <v>Bəlğəmin bakterioloji müayinəsi</v>
      </c>
      <c r="B170" s="25" t="s">
        <v>67</v>
      </c>
      <c r="C170" s="24" t="s">
        <v>68</v>
      </c>
      <c r="D170" s="25" t="s">
        <v>37</v>
      </c>
      <c r="E170" s="25" t="s">
        <v>69</v>
      </c>
      <c r="F170" s="26" t="s">
        <v>49</v>
      </c>
      <c r="G170" s="26" t="s">
        <v>70</v>
      </c>
    </row>
    <row r="171" spans="1:7" ht="15">
      <c r="A171" s="24" t="str">
        <f ca="1">IFERROR(__xludf.DUMMYFUNCTION("""COMPUTED_VALUE"""),"Dırnağın mikoloji əkilməsi")</f>
        <v>Dırnağın mikoloji əkilməsi</v>
      </c>
      <c r="B171" s="25" t="s">
        <v>67</v>
      </c>
      <c r="C171" s="24" t="s">
        <v>74</v>
      </c>
      <c r="D171" s="25" t="s">
        <v>37</v>
      </c>
      <c r="E171" s="25" t="s">
        <v>75</v>
      </c>
      <c r="F171" s="26" t="s">
        <v>49</v>
      </c>
      <c r="G171" s="26" t="s">
        <v>70</v>
      </c>
    </row>
    <row r="172" spans="1:7" ht="15">
      <c r="A172" s="24" t="str">
        <f ca="1">IFERROR(__xludf.DUMMYFUNCTION("""COMPUTED_VALUE"""),"Disbakterioz (nəcis)")</f>
        <v>Disbakterioz (nəcis)</v>
      </c>
      <c r="B172" s="25" t="s">
        <v>67</v>
      </c>
      <c r="C172" s="24" t="s">
        <v>65</v>
      </c>
      <c r="D172" s="25" t="s">
        <v>37</v>
      </c>
      <c r="E172" s="25" t="s">
        <v>69</v>
      </c>
      <c r="F172" s="26" t="s">
        <v>66</v>
      </c>
      <c r="G172" s="26" t="s">
        <v>47</v>
      </c>
    </row>
    <row r="173" spans="1:7" ht="15">
      <c r="A173" s="24" t="str">
        <f ca="1">IFERROR(__xludf.DUMMYFUNCTION("""COMPUTED_VALUE"""),"Dəri qaşıntısının mikoloji əkilməsi")</f>
        <v>Dəri qaşıntısının mikoloji əkilməsi</v>
      </c>
      <c r="B173" s="25" t="s">
        <v>67</v>
      </c>
      <c r="C173" s="24" t="s">
        <v>68</v>
      </c>
      <c r="D173" s="25" t="s">
        <v>37</v>
      </c>
      <c r="E173" s="25" t="s">
        <v>75</v>
      </c>
      <c r="F173" s="26" t="s">
        <v>49</v>
      </c>
      <c r="G173" s="26" t="s">
        <v>76</v>
      </c>
    </row>
    <row r="174" spans="1:7" ht="15">
      <c r="A174" s="24" t="str">
        <f ca="1">IFERROR(__xludf.DUMMYFUNCTION("""COMPUTED_VALUE"""),"Eyakulyatın (spermanın) bakterioloji müayinəsi")</f>
        <v>Eyakulyatın (spermanın) bakterioloji müayinəsi</v>
      </c>
      <c r="B174" s="25" t="s">
        <v>67</v>
      </c>
      <c r="C174" s="24" t="s">
        <v>68</v>
      </c>
      <c r="D174" s="25" t="s">
        <v>37</v>
      </c>
      <c r="E174" s="25" t="s">
        <v>69</v>
      </c>
      <c r="F174" s="26" t="s">
        <v>77</v>
      </c>
      <c r="G174" s="26" t="s">
        <v>47</v>
      </c>
    </row>
    <row r="175" spans="1:7" ht="15">
      <c r="A175" s="24" t="str">
        <f ca="1">IFERROR(__xludf.DUMMYFUNCTION("""COMPUTED_VALUE"""),"Konyuktivadan sıyrıntının bakterioloji müayinəsi")</f>
        <v>Konyuktivadan sıyrıntının bakterioloji müayinəsi</v>
      </c>
      <c r="B175" s="25" t="s">
        <v>67</v>
      </c>
      <c r="C175" s="24" t="s">
        <v>73</v>
      </c>
      <c r="D175" s="25" t="s">
        <v>37</v>
      </c>
      <c r="E175" s="25" t="s">
        <v>69</v>
      </c>
      <c r="F175" s="26" t="s">
        <v>49</v>
      </c>
      <c r="G175" s="26" t="s">
        <v>70</v>
      </c>
    </row>
    <row r="176" spans="1:7" ht="15">
      <c r="A176" s="24" t="str">
        <f ca="1">IFERROR(__xludf.DUMMYFUNCTION("""COMPUTED_VALUE"""),"Mycoplasma və ureaplazma əkilməsi (eyakulat)+antibiotikoqr.")</f>
        <v>Mycoplasma və ureaplazma əkilməsi (eyakulat)+antibiotikoqr.</v>
      </c>
      <c r="B176" s="25" t="s">
        <v>67</v>
      </c>
      <c r="C176" s="24" t="s">
        <v>68</v>
      </c>
      <c r="D176" s="25" t="s">
        <v>37</v>
      </c>
      <c r="E176" s="25" t="s">
        <v>78</v>
      </c>
      <c r="F176" s="26" t="s">
        <v>79</v>
      </c>
      <c r="G176" s="26" t="s">
        <v>70</v>
      </c>
    </row>
    <row r="177" spans="1:7" ht="25.5">
      <c r="A177" s="24" t="str">
        <f ca="1">IFERROR(__xludf.DUMMYFUNCTION("""COMPUTED_VALUE"""),"Mycoplasma və ureaplazma əkilməsi+antibiotikoqramma (sidik)")</f>
        <v>Mycoplasma və ureaplazma əkilməsi+antibiotikoqramma (sidik)</v>
      </c>
      <c r="B177" s="25" t="s">
        <v>67</v>
      </c>
      <c r="C177" s="24" t="s">
        <v>41</v>
      </c>
      <c r="D177" s="25" t="s">
        <v>37</v>
      </c>
      <c r="E177" s="25" t="s">
        <v>78</v>
      </c>
      <c r="F177" s="26" t="s">
        <v>43</v>
      </c>
      <c r="G177" s="26" t="s">
        <v>80</v>
      </c>
    </row>
    <row r="178" spans="1:7" ht="15">
      <c r="A178" s="24" t="str">
        <f ca="1">IFERROR(__xludf.DUMMYFUNCTION("""COMPUTED_VALUE"""),"Mycoplasma və ureaplazma əkilməsi+antibiotikoqramma (uretra)")</f>
        <v>Mycoplasma və ureaplazma əkilməsi+antibiotikoqramma (uretra)</v>
      </c>
      <c r="B178" s="25" t="s">
        <v>67</v>
      </c>
      <c r="C178" s="24" t="s">
        <v>73</v>
      </c>
      <c r="D178" s="25" t="s">
        <v>37</v>
      </c>
      <c r="E178" s="25" t="s">
        <v>78</v>
      </c>
      <c r="F178" s="26" t="s">
        <v>81</v>
      </c>
      <c r="G178" s="26" t="s">
        <v>76</v>
      </c>
    </row>
    <row r="179" spans="1:7" ht="15">
      <c r="A179" s="24" t="str">
        <f ca="1">IFERROR(__xludf.DUMMYFUNCTION("""COMPUTED_VALUE"""),"Mycoplasma və ureaplazma əkilməsi+antibiotikoqramma (uşaqlıq yolu)")</f>
        <v>Mycoplasma və ureaplazma əkilməsi+antibiotikoqramma (uşaqlıq yolu)</v>
      </c>
      <c r="B179" s="25" t="s">
        <v>67</v>
      </c>
      <c r="C179" s="24" t="s">
        <v>73</v>
      </c>
      <c r="D179" s="25" t="s">
        <v>37</v>
      </c>
      <c r="E179" s="25" t="s">
        <v>78</v>
      </c>
      <c r="F179" s="26" t="s">
        <v>49</v>
      </c>
      <c r="G179" s="26" t="s">
        <v>76</v>
      </c>
    </row>
    <row r="180" spans="1:7" ht="25.5">
      <c r="A180" s="24" t="str">
        <f ca="1">IFERROR(__xludf.DUMMYFUNCTION("""COMPUTED_VALUE"""),"Mycoplasma və ureaplazma əkilməsi+antibiotikoqramma(eyakulat)")</f>
        <v>Mycoplasma və ureaplazma əkilməsi+antibiotikoqramma(eyakulat)</v>
      </c>
      <c r="B180" s="25" t="s">
        <v>67</v>
      </c>
      <c r="C180" s="24" t="s">
        <v>68</v>
      </c>
      <c r="D180" s="25" t="s">
        <v>37</v>
      </c>
      <c r="E180" s="25" t="s">
        <v>78</v>
      </c>
      <c r="F180" s="26" t="s">
        <v>82</v>
      </c>
      <c r="G180" s="26" t="s">
        <v>83</v>
      </c>
    </row>
    <row r="181" spans="1:7" ht="15">
      <c r="A181" s="24" t="str">
        <f ca="1">IFERROR(__xludf.DUMMYFUNCTION("""COMPUTED_VALUE"""),"Nəcisin bakterioloji müayinəsi")</f>
        <v>Nəcisin bakterioloji müayinəsi</v>
      </c>
      <c r="B181" s="25" t="s">
        <v>67</v>
      </c>
      <c r="C181" s="24" t="s">
        <v>65</v>
      </c>
      <c r="D181" s="25" t="s">
        <v>37</v>
      </c>
      <c r="E181" s="25" t="s">
        <v>69</v>
      </c>
      <c r="F181" s="26" t="s">
        <v>49</v>
      </c>
      <c r="G181" s="26" t="s">
        <v>70</v>
      </c>
    </row>
    <row r="182" spans="1:7" ht="25.5">
      <c r="A182" s="24" t="str">
        <f ca="1">IFERROR(__xludf.DUMMYFUNCTION("""COMPUTED_VALUE"""),"Nəcisin bakterioloji müayinəsi + antibiotikoqramma")</f>
        <v>Nəcisin bakterioloji müayinəsi + antibiotikoqramma</v>
      </c>
      <c r="B182" s="25" t="s">
        <v>67</v>
      </c>
      <c r="C182" s="24" t="s">
        <v>65</v>
      </c>
      <c r="D182" s="25" t="s">
        <v>37</v>
      </c>
      <c r="E182" s="25" t="s">
        <v>69</v>
      </c>
      <c r="F182" s="26" t="s">
        <v>49</v>
      </c>
      <c r="G182" s="26" t="s">
        <v>83</v>
      </c>
    </row>
    <row r="183" spans="1:7" ht="25.5">
      <c r="A183" s="24" t="str">
        <f ca="1">IFERROR(__xludf.DUMMYFUNCTION("""COMPUTED_VALUE"""),"Onurğa beyin mayesinin (likvor) bakterioloji müayinəsi + antibiotikoqramma")</f>
        <v>Onurğa beyin mayesinin (likvor) bakterioloji müayinəsi + antibiotikoqramma</v>
      </c>
      <c r="B183" s="25" t="s">
        <v>67</v>
      </c>
      <c r="C183" s="24" t="s">
        <v>68</v>
      </c>
      <c r="D183" s="25" t="s">
        <v>37</v>
      </c>
      <c r="E183" s="25" t="s">
        <v>69</v>
      </c>
      <c r="F183" s="26" t="s">
        <v>48</v>
      </c>
      <c r="G183" s="26" t="s">
        <v>84</v>
      </c>
    </row>
    <row r="184" spans="1:7" ht="25.5">
      <c r="A184" s="24" t="str">
        <f ca="1">IFERROR(__xludf.DUMMYFUNCTION("""COMPUTED_VALUE"""),"Oynaq kisəsi mayesinin bakterioloji müayinəsi")</f>
        <v>Oynaq kisəsi mayesinin bakterioloji müayinəsi</v>
      </c>
      <c r="B184" s="25" t="s">
        <v>67</v>
      </c>
      <c r="C184" s="24" t="s">
        <v>68</v>
      </c>
      <c r="D184" s="25" t="s">
        <v>37</v>
      </c>
      <c r="E184" s="25" t="s">
        <v>69</v>
      </c>
      <c r="F184" s="26" t="s">
        <v>49</v>
      </c>
      <c r="G184" s="26" t="s">
        <v>83</v>
      </c>
    </row>
    <row r="185" spans="1:7" ht="25.5">
      <c r="A185" s="24" t="str">
        <f ca="1">IFERROR(__xludf.DUMMYFUNCTION("""COMPUTED_VALUE"""),"Perikard mayesinin əkilməsi")</f>
        <v>Perikard mayesinin əkilməsi</v>
      </c>
      <c r="B185" s="25" t="s">
        <v>67</v>
      </c>
      <c r="C185" s="24" t="s">
        <v>68</v>
      </c>
      <c r="D185" s="25" t="s">
        <v>37</v>
      </c>
      <c r="E185" s="25" t="s">
        <v>69</v>
      </c>
      <c r="F185" s="26" t="s">
        <v>85</v>
      </c>
      <c r="G185" s="26" t="s">
        <v>80</v>
      </c>
    </row>
    <row r="186" spans="1:7" ht="20.100000000000001" customHeight="1">
      <c r="A186" s="24" t="str">
        <f ca="1">IFERROR(__xludf.DUMMYFUNCTION("""COMPUTED_VALUE"""),"Periton mayesinin əkilməsi")</f>
        <v>Periton mayesinin əkilməsi</v>
      </c>
      <c r="B186" s="25" t="s">
        <v>67</v>
      </c>
      <c r="C186" s="24" t="s">
        <v>68</v>
      </c>
      <c r="D186" s="25" t="s">
        <v>37</v>
      </c>
      <c r="E186" s="25" t="s">
        <v>69</v>
      </c>
      <c r="F186" s="26" t="s">
        <v>86</v>
      </c>
      <c r="G186" s="26" t="s">
        <v>47</v>
      </c>
    </row>
    <row r="187" spans="1:7" ht="20.100000000000001" customHeight="1">
      <c r="A187" s="24" t="str">
        <f ca="1">IFERROR(__xludf.DUMMYFUNCTION("""COMPUTED_VALUE"""),"Plevral mayenin bakterioloji müayinəsi")</f>
        <v>Plevral mayenin bakterioloji müayinəsi</v>
      </c>
      <c r="B187" s="25" t="s">
        <v>67</v>
      </c>
      <c r="C187" s="24" t="s">
        <v>68</v>
      </c>
      <c r="D187" s="25" t="s">
        <v>37</v>
      </c>
      <c r="E187" s="25" t="s">
        <v>69</v>
      </c>
      <c r="F187" s="26" t="s">
        <v>71</v>
      </c>
      <c r="G187" s="26"/>
    </row>
    <row r="188" spans="1:7" ht="25.5">
      <c r="A188" s="24" t="str">
        <f ca="1">IFERROR(__xludf.DUMMYFUNCTION("""COMPUTED_VALUE"""),"Prostat vəzi şirəsinin bakterioloji müayinəsi")</f>
        <v>Prostat vəzi şirəsinin bakterioloji müayinəsi</v>
      </c>
      <c r="B188" s="25" t="s">
        <v>67</v>
      </c>
      <c r="C188" s="24" t="s">
        <v>73</v>
      </c>
      <c r="D188" s="25" t="s">
        <v>37</v>
      </c>
      <c r="E188" s="25" t="s">
        <v>69</v>
      </c>
      <c r="F188" s="26" t="s">
        <v>71</v>
      </c>
      <c r="G188" s="26" t="s">
        <v>83</v>
      </c>
    </row>
    <row r="189" spans="1:7" ht="29.25" customHeight="1">
      <c r="A189" s="24" t="str">
        <f ca="1">IFERROR(__xludf.DUMMYFUNCTION("""COMPUTED_VALUE"""),"Qanın sterilliyi ( aerob)")</f>
        <v>Qanın sterilliyi ( aerob)</v>
      </c>
      <c r="B189" s="25" t="s">
        <v>87</v>
      </c>
      <c r="C189" s="24" t="s">
        <v>88</v>
      </c>
      <c r="D189" s="25" t="s">
        <v>37</v>
      </c>
      <c r="E189" s="25" t="s">
        <v>89</v>
      </c>
      <c r="F189" s="26" t="s">
        <v>90</v>
      </c>
      <c r="G189" s="26" t="s">
        <v>70</v>
      </c>
    </row>
    <row r="190" spans="1:7" ht="15">
      <c r="A190" s="24" t="str">
        <f ca="1">IFERROR(__xludf.DUMMYFUNCTION("""COMPUTED_VALUE"""),"Saçın mikoloji əkilməsi")</f>
        <v>Saçın mikoloji əkilməsi</v>
      </c>
      <c r="B190" s="25" t="s">
        <v>67</v>
      </c>
      <c r="C190" s="24" t="s">
        <v>74</v>
      </c>
      <c r="D190" s="25" t="s">
        <v>37</v>
      </c>
      <c r="E190" s="25" t="s">
        <v>75</v>
      </c>
      <c r="F190" s="26" t="s">
        <v>91</v>
      </c>
      <c r="G190" s="26" t="s">
        <v>70</v>
      </c>
    </row>
    <row r="191" spans="1:7" ht="15">
      <c r="A191" s="24" t="str">
        <f ca="1">IFERROR(__xludf.DUMMYFUNCTION("""COMPUTED_VALUE"""),"Servikal kanal sıyrıntısının bakterioloji müayinəsi")</f>
        <v>Servikal kanal sıyrıntısının bakterioloji müayinəsi</v>
      </c>
      <c r="B191" s="25" t="s">
        <v>67</v>
      </c>
      <c r="C191" s="24" t="s">
        <v>73</v>
      </c>
      <c r="D191" s="25" t="s">
        <v>37</v>
      </c>
      <c r="E191" s="25" t="s">
        <v>69</v>
      </c>
      <c r="F191" s="26"/>
      <c r="G191" s="26" t="s">
        <v>70</v>
      </c>
    </row>
    <row r="192" spans="1:7" ht="25.5">
      <c r="A192" s="24" t="str">
        <f ca="1">IFERROR(__xludf.DUMMYFUNCTION("""COMPUTED_VALUE"""),"Sidiyin bakterioloji müayinəsi")</f>
        <v>Sidiyin bakterioloji müayinəsi</v>
      </c>
      <c r="B192" s="25" t="s">
        <v>67</v>
      </c>
      <c r="C192" s="24" t="s">
        <v>41</v>
      </c>
      <c r="D192" s="25" t="s">
        <v>37</v>
      </c>
      <c r="E192" s="25" t="s">
        <v>69</v>
      </c>
      <c r="F192" s="26" t="s">
        <v>92</v>
      </c>
      <c r="G192" s="26" t="s">
        <v>83</v>
      </c>
    </row>
    <row r="193" spans="1:7" ht="25.5">
      <c r="A193" s="24" t="str">
        <f ca="1">IFERROR(__xludf.DUMMYFUNCTION("""COMPUTED_VALUE"""),"Sinus aspiratnın əkilməsi ")</f>
        <v xml:space="preserve">Sinus aspiratnın əkilməsi </v>
      </c>
      <c r="B193" s="25" t="s">
        <v>67</v>
      </c>
      <c r="C193" s="24" t="s">
        <v>73</v>
      </c>
      <c r="D193" s="25" t="s">
        <v>37</v>
      </c>
      <c r="E193" s="25" t="s">
        <v>69</v>
      </c>
      <c r="F193" s="26" t="s">
        <v>49</v>
      </c>
      <c r="G193" s="26" t="s">
        <v>83</v>
      </c>
    </row>
    <row r="194" spans="1:7" ht="15">
      <c r="A194" s="24" t="str">
        <f ca="1">IFERROR(__xludf.DUMMYFUNCTION("""COMPUTED_VALUE"""),"Traxeal aspirat əkilməsi")</f>
        <v>Traxeal aspirat əkilməsi</v>
      </c>
      <c r="B194" s="25" t="s">
        <v>67</v>
      </c>
      <c r="C194" s="24" t="s">
        <v>68</v>
      </c>
      <c r="D194" s="25" t="s">
        <v>37</v>
      </c>
      <c r="E194" s="25" t="s">
        <v>69</v>
      </c>
      <c r="F194" s="26" t="s">
        <v>49</v>
      </c>
      <c r="G194" s="26" t="s">
        <v>70</v>
      </c>
    </row>
    <row r="195" spans="1:7" ht="25.5">
      <c r="A195" s="24" t="str">
        <f ca="1">IFERROR(__xludf.DUMMYFUNCTION("""COMPUTED_VALUE"""),"Uretradan sıyrıntının bakterioloji müayinəsi")</f>
        <v>Uretradan sıyrıntının bakterioloji müayinəsi</v>
      </c>
      <c r="B195" s="25" t="s">
        <v>67</v>
      </c>
      <c r="C195" s="24" t="s">
        <v>73</v>
      </c>
      <c r="D195" s="25" t="s">
        <v>37</v>
      </c>
      <c r="E195" s="25" t="s">
        <v>69</v>
      </c>
      <c r="F195" s="26" t="s">
        <v>49</v>
      </c>
      <c r="G195" s="26" t="s">
        <v>83</v>
      </c>
    </row>
    <row r="196" spans="1:7" ht="20.100000000000001" customHeight="1">
      <c r="A196" s="24" t="str">
        <f ca="1">IFERROR(__xludf.DUMMYFUNCTION("""COMPUTED_VALUE"""),"Vaginal sıyrıntının bakterial müayinəsi")</f>
        <v>Vaginal sıyrıntının bakterial müayinəsi</v>
      </c>
      <c r="B196" s="25" t="s">
        <v>67</v>
      </c>
      <c r="C196" s="24" t="s">
        <v>73</v>
      </c>
      <c r="D196" s="25" t="s">
        <v>37</v>
      </c>
      <c r="E196" s="25" t="s">
        <v>69</v>
      </c>
      <c r="F196" s="26" t="s">
        <v>49</v>
      </c>
      <c r="G196" s="26" t="s">
        <v>93</v>
      </c>
    </row>
    <row r="197" spans="1:7" ht="20.100000000000001" customHeight="1">
      <c r="A197" s="24" t="str">
        <f ca="1">IFERROR(__xludf.DUMMYFUNCTION("""COMPUTED_VALUE"""),"Xarici qulaq keçəcəyi sıyrıntısının bakterioloji müayinəsi")</f>
        <v>Xarici qulaq keçəcəyi sıyrıntısının bakterioloji müayinəsi</v>
      </c>
      <c r="B197" s="25" t="s">
        <v>67</v>
      </c>
      <c r="C197" s="24" t="s">
        <v>73</v>
      </c>
      <c r="D197" s="25" t="s">
        <v>37</v>
      </c>
      <c r="E197" s="25" t="s">
        <v>69</v>
      </c>
      <c r="F197" s="26" t="s">
        <v>49</v>
      </c>
      <c r="G197" s="26" t="s">
        <v>70</v>
      </c>
    </row>
    <row r="198" spans="1:7" ht="20.100000000000001" customHeight="1">
      <c r="A198" s="24" t="str">
        <f ca="1">IFERROR(__xludf.DUMMYFUNCTION("""COMPUTED_VALUE"""),"Yara möhtəviyyatnın əkilməsi")</f>
        <v>Yara möhtəviyyatnın əkilməsi</v>
      </c>
      <c r="B198" s="25" t="s">
        <v>67</v>
      </c>
      <c r="C198" s="24" t="s">
        <v>73</v>
      </c>
      <c r="D198" s="25" t="s">
        <v>37</v>
      </c>
      <c r="E198" s="25" t="s">
        <v>69</v>
      </c>
      <c r="F198" s="26"/>
      <c r="G198" s="26"/>
    </row>
    <row r="199" spans="1:7" ht="20.100000000000001" customHeight="1">
      <c r="A199" s="24" t="str">
        <f ca="1">IFERROR(__xludf.DUMMYFUNCTION("""COMPUTED_VALUE"""),"Öd kisəsi möhtəviyyatının bakterioloji müayinəsi")</f>
        <v>Öd kisəsi möhtəviyyatının bakterioloji müayinəsi</v>
      </c>
      <c r="B199" s="25" t="s">
        <v>67</v>
      </c>
      <c r="C199" s="24" t="s">
        <v>68</v>
      </c>
      <c r="D199" s="25" t="s">
        <v>37</v>
      </c>
      <c r="E199" s="25" t="s">
        <v>69</v>
      </c>
      <c r="F199" s="26" t="s">
        <v>48</v>
      </c>
      <c r="G199" s="26"/>
    </row>
    <row r="200" spans="1:7" ht="20.100000000000001" customHeight="1">
      <c r="A200" s="24" t="str">
        <f ca="1">IFERROR(__xludf.DUMMYFUNCTION("""COMPUTED_VALUE"""),"Əsnəkdən sıyrıntının bakterioloji müayinəsi")</f>
        <v>Əsnəkdən sıyrıntının bakterioloji müayinəsi</v>
      </c>
      <c r="B200" s="25" t="s">
        <v>67</v>
      </c>
      <c r="C200" s="24" t="s">
        <v>73</v>
      </c>
      <c r="D200" s="25" t="s">
        <v>37</v>
      </c>
      <c r="E200" s="25" t="s">
        <v>69</v>
      </c>
      <c r="F200" s="26" t="s">
        <v>49</v>
      </c>
      <c r="G200" s="26"/>
    </row>
    <row r="201" spans="1:7" ht="20.100000000000001" customHeight="1">
      <c r="A201" s="24" t="str">
        <f ca="1">IFERROR(__xludf.DUMMYFUNCTION("""COMPUTED_VALUE"""),"Demodex gənəsinin mikroskopik müayinəsi (baş tükü)")</f>
        <v>Demodex gənəsinin mikroskopik müayinəsi (baş tükü)</v>
      </c>
      <c r="B201" s="25" t="s">
        <v>94</v>
      </c>
      <c r="C201" s="24" t="s">
        <v>95</v>
      </c>
      <c r="D201" s="25" t="s">
        <v>37</v>
      </c>
      <c r="E201" s="25" t="s">
        <v>38</v>
      </c>
      <c r="F201" s="26" t="s">
        <v>49</v>
      </c>
      <c r="G201" s="26"/>
    </row>
    <row r="202" spans="1:7" ht="20.100000000000001" customHeight="1">
      <c r="A202" s="24" t="str">
        <f ca="1">IFERROR(__xludf.DUMMYFUNCTION("""COMPUTED_VALUE"""),"Demodex gənəsinin mikroskopik müayinəsi (dəri)")</f>
        <v>Demodex gənəsinin mikroskopik müayinəsi (dəri)</v>
      </c>
      <c r="B202" s="25" t="s">
        <v>94</v>
      </c>
      <c r="C202" s="24" t="s">
        <v>95</v>
      </c>
      <c r="D202" s="25" t="s">
        <v>37</v>
      </c>
      <c r="E202" s="25" t="s">
        <v>38</v>
      </c>
      <c r="F202" s="26" t="s">
        <v>49</v>
      </c>
      <c r="G202" s="26" t="s">
        <v>47</v>
      </c>
    </row>
    <row r="203" spans="1:7" ht="20.100000000000001" customHeight="1">
      <c r="A203" s="24" t="str">
        <f ca="1">IFERROR(__xludf.DUMMYFUNCTION("""COMPUTED_VALUE"""),"Demodex gənəsinin mikroskopik müayinəsi (kiprik)")</f>
        <v>Demodex gənəsinin mikroskopik müayinəsi (kiprik)</v>
      </c>
      <c r="B203" s="25" t="s">
        <v>94</v>
      </c>
      <c r="C203" s="24" t="s">
        <v>95</v>
      </c>
      <c r="D203" s="25" t="s">
        <v>37</v>
      </c>
      <c r="E203" s="25" t="s">
        <v>38</v>
      </c>
      <c r="F203" s="26" t="s">
        <v>49</v>
      </c>
      <c r="G203" s="26" t="s">
        <v>47</v>
      </c>
    </row>
    <row r="204" spans="1:7" ht="20.100000000000001" customHeight="1">
      <c r="A204" s="24" t="str">
        <f ca="1">IFERROR(__xludf.DUMMYFUNCTION("""COMPUTED_VALUE"""),"Dırnağın patogen göbələkləri (Ayaq dırnağı)")</f>
        <v>Dırnağın patogen göbələkləri (Ayaq dırnağı)</v>
      </c>
      <c r="B204" s="25" t="s">
        <v>94</v>
      </c>
      <c r="C204" s="24" t="s">
        <v>95</v>
      </c>
      <c r="D204" s="25" t="s">
        <v>37</v>
      </c>
      <c r="E204" s="25" t="s">
        <v>38</v>
      </c>
      <c r="F204" s="26" t="s">
        <v>49</v>
      </c>
      <c r="G204" s="26" t="s">
        <v>47</v>
      </c>
    </row>
    <row r="205" spans="1:7" ht="20.100000000000001" customHeight="1">
      <c r="A205" s="24" t="str">
        <f ca="1">IFERROR(__xludf.DUMMYFUNCTION("""COMPUTED_VALUE"""),"Dırnağın patogen göbələklərə görə müayinəsi (əl)")</f>
        <v>Dırnağın patogen göbələklərə görə müayinəsi (əl)</v>
      </c>
      <c r="B205" s="25" t="s">
        <v>94</v>
      </c>
      <c r="C205" s="24" t="s">
        <v>95</v>
      </c>
      <c r="D205" s="25" t="s">
        <v>37</v>
      </c>
      <c r="E205" s="25" t="s">
        <v>38</v>
      </c>
      <c r="F205" s="26" t="s">
        <v>49</v>
      </c>
      <c r="G205" s="26" t="s">
        <v>47</v>
      </c>
    </row>
    <row r="206" spans="1:7" ht="20.100000000000001" customHeight="1">
      <c r="A206" s="24" t="str">
        <f ca="1">IFERROR(__xludf.DUMMYFUNCTION("""COMPUTED_VALUE"""),"Dəri patogen göbələklər(baş dərisi)")</f>
        <v>Dəri patogen göbələklər(baş dərisi)</v>
      </c>
      <c r="B206" s="25" t="s">
        <v>94</v>
      </c>
      <c r="C206" s="24" t="s">
        <v>95</v>
      </c>
      <c r="D206" s="25" t="s">
        <v>37</v>
      </c>
      <c r="E206" s="25" t="s">
        <v>38</v>
      </c>
      <c r="F206" s="26" t="s">
        <v>49</v>
      </c>
      <c r="G206" s="26" t="s">
        <v>47</v>
      </c>
    </row>
    <row r="207" spans="1:7" ht="20.100000000000001" customHeight="1">
      <c r="A207" s="24" t="str">
        <f ca="1">IFERROR(__xludf.DUMMYFUNCTION("""COMPUTED_VALUE"""),"Dəri patogen göbələklərə(ayaq dərisi)")</f>
        <v>Dəri patogen göbələklərə(ayaq dərisi)</v>
      </c>
      <c r="B207" s="25" t="s">
        <v>94</v>
      </c>
      <c r="C207" s="24" t="s">
        <v>95</v>
      </c>
      <c r="D207" s="25" t="s">
        <v>37</v>
      </c>
      <c r="E207" s="25" t="s">
        <v>38</v>
      </c>
      <c r="F207" s="26" t="s">
        <v>49</v>
      </c>
      <c r="G207" s="26" t="s">
        <v>47</v>
      </c>
    </row>
    <row r="208" spans="1:7" ht="20.100000000000001" customHeight="1">
      <c r="A208" s="24" t="str">
        <f ca="1">IFERROR(__xludf.DUMMYFUNCTION("""COMPUTED_VALUE"""),"Dəri patogen göbələklərə(bel dərisi)")</f>
        <v>Dəri patogen göbələklərə(bel dərisi)</v>
      </c>
      <c r="B208" s="25" t="s">
        <v>94</v>
      </c>
      <c r="C208" s="24" t="s">
        <v>95</v>
      </c>
      <c r="D208" s="25" t="s">
        <v>37</v>
      </c>
      <c r="E208" s="25" t="s">
        <v>38</v>
      </c>
      <c r="F208" s="26" t="s">
        <v>49</v>
      </c>
      <c r="G208" s="26" t="s">
        <v>47</v>
      </c>
    </row>
    <row r="209" spans="1:7" ht="20.100000000000001" customHeight="1">
      <c r="A209" s="24" t="str">
        <f ca="1">IFERROR(__xludf.DUMMYFUNCTION("""COMPUTED_VALUE"""),"Dəri patogen göbələklərə(qarın dərisi)")</f>
        <v>Dəri patogen göbələklərə(qarın dərisi)</v>
      </c>
      <c r="B209" s="25" t="s">
        <v>94</v>
      </c>
      <c r="C209" s="24" t="s">
        <v>95</v>
      </c>
      <c r="D209" s="25" t="s">
        <v>37</v>
      </c>
      <c r="E209" s="25" t="s">
        <v>38</v>
      </c>
      <c r="F209" s="26" t="s">
        <v>49</v>
      </c>
      <c r="G209" s="26" t="s">
        <v>47</v>
      </c>
    </row>
    <row r="210" spans="1:7" ht="20.100000000000001" customHeight="1">
      <c r="A210" s="24" t="str">
        <f ca="1">IFERROR(__xludf.DUMMYFUNCTION("""COMPUTED_VALUE"""),"Dəri patogen göbələklərə(qasıq)")</f>
        <v>Dəri patogen göbələklərə(qasıq)</v>
      </c>
      <c r="B210" s="25" t="s">
        <v>94</v>
      </c>
      <c r="C210" s="24" t="s">
        <v>95</v>
      </c>
      <c r="D210" s="25" t="s">
        <v>37</v>
      </c>
      <c r="E210" s="25" t="s">
        <v>38</v>
      </c>
      <c r="F210" s="26" t="s">
        <v>49</v>
      </c>
      <c r="G210" s="26" t="s">
        <v>47</v>
      </c>
    </row>
    <row r="211" spans="1:7" ht="20.100000000000001" customHeight="1">
      <c r="A211" s="24" t="str">
        <f ca="1">IFERROR(__xludf.DUMMYFUNCTION("""COMPUTED_VALUE"""),"Dəri patogen göbələklərə(üz dərisi)")</f>
        <v>Dəri patogen göbələklərə(üz dərisi)</v>
      </c>
      <c r="B211" s="25" t="s">
        <v>94</v>
      </c>
      <c r="C211" s="24" t="s">
        <v>95</v>
      </c>
      <c r="D211" s="25" t="s">
        <v>37</v>
      </c>
      <c r="E211" s="25" t="s">
        <v>38</v>
      </c>
      <c r="F211" s="26" t="s">
        <v>49</v>
      </c>
      <c r="G211" s="26" t="s">
        <v>47</v>
      </c>
    </row>
    <row r="212" spans="1:7" ht="20.100000000000001" customHeight="1">
      <c r="A212" s="24" t="str">
        <f ca="1">IFERROR(__xludf.DUMMYFUNCTION("""COMPUTED_VALUE"""),"Dəri patogen göbələklərə(əl dərisi)")</f>
        <v>Dəri patogen göbələklərə(əl dərisi)</v>
      </c>
      <c r="B212" s="25" t="s">
        <v>94</v>
      </c>
      <c r="C212" s="24" t="s">
        <v>95</v>
      </c>
      <c r="D212" s="25" t="s">
        <v>37</v>
      </c>
      <c r="E212" s="25" t="s">
        <v>38</v>
      </c>
      <c r="F212" s="26" t="s">
        <v>49</v>
      </c>
      <c r="G212" s="26" t="s">
        <v>47</v>
      </c>
    </row>
    <row r="213" spans="1:7" ht="20.100000000000001" customHeight="1">
      <c r="A213" s="24" t="str">
        <f ca="1">IFERROR(__xludf.DUMMYFUNCTION("""COMPUTED_VALUE"""),"Dəridən götürülən sıyrıntının mikroskopiyası")</f>
        <v>Dəridən götürülən sıyrıntının mikroskopiyası</v>
      </c>
      <c r="B213" s="25" t="s">
        <v>94</v>
      </c>
      <c r="C213" s="24" t="s">
        <v>95</v>
      </c>
      <c r="D213" s="25" t="s">
        <v>37</v>
      </c>
      <c r="E213" s="25" t="s">
        <v>38</v>
      </c>
      <c r="F213" s="26" t="s">
        <v>49</v>
      </c>
      <c r="G213" s="26" t="s">
        <v>47</v>
      </c>
    </row>
    <row r="214" spans="1:7" ht="20.100000000000001" customHeight="1">
      <c r="A214" s="24" t="str">
        <f ca="1">IFERROR(__xludf.DUMMYFUNCTION("""COMPUTED_VALUE"""),"Albumin / Kreatinin nisbəti (birdəfəlik sidik)")</f>
        <v>Albumin / Kreatinin nisbəti (birdəfəlik sidik)</v>
      </c>
      <c r="B214" s="25" t="s">
        <v>35</v>
      </c>
      <c r="C214" s="24" t="s">
        <v>41</v>
      </c>
      <c r="D214" s="25" t="s">
        <v>37</v>
      </c>
      <c r="E214" s="25" t="s">
        <v>42</v>
      </c>
      <c r="F214" s="26" t="s">
        <v>43</v>
      </c>
      <c r="G214" s="26"/>
    </row>
    <row r="215" spans="1:7" ht="20.100000000000001" customHeight="1">
      <c r="A215" s="24" t="str">
        <f ca="1">IFERROR(__xludf.DUMMYFUNCTION("""COMPUTED_VALUE"""),"Diastaza sidikdə(təzə yığılmış)")</f>
        <v>Diastaza sidikdə(təzə yığılmış)</v>
      </c>
      <c r="B215" s="25" t="s">
        <v>35</v>
      </c>
      <c r="C215" s="24" t="s">
        <v>41</v>
      </c>
      <c r="D215" s="25" t="s">
        <v>37</v>
      </c>
      <c r="E215" s="25" t="s">
        <v>42</v>
      </c>
      <c r="F215" s="26" t="s">
        <v>45</v>
      </c>
      <c r="G215" s="26" t="s">
        <v>40</v>
      </c>
    </row>
    <row r="216" spans="1:7" ht="20.100000000000001" customHeight="1">
      <c r="A216" s="24" t="str">
        <f ca="1">IFERROR(__xludf.DUMMYFUNCTION("""COMPUTED_VALUE"""),"Kalsium sidikdə (birdəfəlik sidik)")</f>
        <v>Kalsium sidikdə (birdəfəlik sidik)</v>
      </c>
      <c r="B216" s="25" t="s">
        <v>35</v>
      </c>
      <c r="C216" s="24" t="s">
        <v>41</v>
      </c>
      <c r="D216" s="25" t="s">
        <v>37</v>
      </c>
      <c r="E216" s="25" t="s">
        <v>42</v>
      </c>
      <c r="F216" s="26" t="s">
        <v>51</v>
      </c>
      <c r="G216" s="26" t="s">
        <v>47</v>
      </c>
    </row>
    <row r="217" spans="1:7" ht="26.25" customHeight="1">
      <c r="A217" s="24" t="str">
        <f ca="1">IFERROR(__xludf.DUMMYFUNCTION("""COMPUTED_VALUE"""),"Kalsium sidikdə (sutkalıq)")</f>
        <v>Kalsium sidikdə (sutkalıq)</v>
      </c>
      <c r="B217" s="25" t="s">
        <v>35</v>
      </c>
      <c r="C217" s="24" t="s">
        <v>41</v>
      </c>
      <c r="D217" s="25" t="s">
        <v>37</v>
      </c>
      <c r="E217" s="25" t="s">
        <v>42</v>
      </c>
      <c r="F217" s="26" t="s">
        <v>50</v>
      </c>
      <c r="G217" s="26" t="s">
        <v>40</v>
      </c>
    </row>
    <row r="218" spans="1:7" ht="20.100000000000001" customHeight="1">
      <c r="A218" s="24" t="str">
        <f ca="1">IFERROR(__xludf.DUMMYFUNCTION("""COMPUTED_VALUE"""),"Kortizol sidikdə (sutkalıq)")</f>
        <v>Kortizol sidikdə (sutkalıq)</v>
      </c>
      <c r="B218" s="25" t="s">
        <v>52</v>
      </c>
      <c r="C218" s="24" t="s">
        <v>41</v>
      </c>
      <c r="D218" s="25" t="s">
        <v>37</v>
      </c>
      <c r="E218" s="25" t="s">
        <v>38</v>
      </c>
      <c r="F218" s="26" t="s">
        <v>51</v>
      </c>
      <c r="G218" s="26" t="s">
        <v>40</v>
      </c>
    </row>
    <row r="219" spans="1:7" ht="20.100000000000001" customHeight="1">
      <c r="A219" s="24" t="str">
        <f ca="1">IFERROR(__xludf.DUMMYFUNCTION("""COMPUTED_VALUE"""),"Kreatinin klirensi (plazma kreatinin+sutkalıq sidik) GFR")</f>
        <v>Kreatinin klirensi (plazma kreatinin+sutkalıq sidik) GFR</v>
      </c>
      <c r="B219" s="25" t="s">
        <v>35</v>
      </c>
      <c r="C219" s="24" t="s">
        <v>96</v>
      </c>
      <c r="D219" s="25" t="s">
        <v>37</v>
      </c>
      <c r="E219" s="25" t="s">
        <v>42</v>
      </c>
      <c r="F219" s="26" t="s">
        <v>97</v>
      </c>
      <c r="G219" s="26" t="s">
        <v>40</v>
      </c>
    </row>
    <row r="220" spans="1:7" ht="20.100000000000001" customHeight="1">
      <c r="A220" s="24" t="str">
        <f ca="1">IFERROR(__xludf.DUMMYFUNCTION("""COMPUTED_VALUE"""),"Kreatinin sidikdə(sutkalıq)")</f>
        <v>Kreatinin sidikdə(sutkalıq)</v>
      </c>
      <c r="B220" s="25" t="s">
        <v>35</v>
      </c>
      <c r="C220" s="24" t="s">
        <v>41</v>
      </c>
      <c r="D220" s="25" t="s">
        <v>37</v>
      </c>
      <c r="E220" s="25" t="s">
        <v>42</v>
      </c>
      <c r="F220" s="26" t="s">
        <v>51</v>
      </c>
      <c r="G220" s="26" t="s">
        <v>40</v>
      </c>
    </row>
    <row r="221" spans="1:7" ht="20.100000000000001" customHeight="1">
      <c r="A221" s="24" t="str">
        <f ca="1">IFERROR(__xludf.DUMMYFUNCTION("""COMPUTED_VALUE"""),"Kreatinin sidikdə(sutkalıq)")</f>
        <v>Kreatinin sidikdə(sutkalıq)</v>
      </c>
      <c r="B221" s="25" t="s">
        <v>35</v>
      </c>
      <c r="C221" s="24" t="s">
        <v>41</v>
      </c>
      <c r="D221" s="25" t="s">
        <v>37</v>
      </c>
      <c r="E221" s="25" t="s">
        <v>42</v>
      </c>
      <c r="F221" s="26" t="s">
        <v>51</v>
      </c>
      <c r="G221" s="26" t="s">
        <v>40</v>
      </c>
    </row>
    <row r="222" spans="1:7" ht="20.100000000000001" customHeight="1">
      <c r="A222" s="24" t="str">
        <f ca="1">IFERROR(__xludf.DUMMYFUNCTION("""COMPUTED_VALUE"""),"Mikroalbumin (sutkalıq sidikdə)")</f>
        <v>Mikroalbumin (sutkalıq sidikdə)</v>
      </c>
      <c r="B222" s="25" t="s">
        <v>35</v>
      </c>
      <c r="C222" s="24" t="s">
        <v>41</v>
      </c>
      <c r="D222" s="25" t="s">
        <v>37</v>
      </c>
      <c r="E222" s="25" t="s">
        <v>42</v>
      </c>
      <c r="F222" s="26" t="s">
        <v>43</v>
      </c>
      <c r="G222" s="26" t="s">
        <v>40</v>
      </c>
    </row>
    <row r="223" spans="1:7" ht="20.100000000000001" customHeight="1">
      <c r="A223" s="24" t="str">
        <f ca="1">IFERROR(__xludf.DUMMYFUNCTION("""COMPUTED_VALUE"""),"Mycoplasma və ureaplazma əkilməsi+antibiotikoqramma (sidik)")</f>
        <v>Mycoplasma və ureaplazma əkilməsi+antibiotikoqramma (sidik)</v>
      </c>
      <c r="B223" s="25" t="s">
        <v>67</v>
      </c>
      <c r="C223" s="24" t="s">
        <v>41</v>
      </c>
      <c r="D223" s="25" t="s">
        <v>37</v>
      </c>
      <c r="E223" s="25" t="s">
        <v>78</v>
      </c>
      <c r="F223" s="26" t="s">
        <v>43</v>
      </c>
      <c r="G223" s="26" t="s">
        <v>40</v>
      </c>
    </row>
    <row r="224" spans="1:7" ht="25.5">
      <c r="A224" s="24" t="str">
        <f ca="1">IFERROR(__xludf.DUMMYFUNCTION("""COMPUTED_VALUE"""),"Qlükoza sidikdə (birdəfəlik)")</f>
        <v>Qlükoza sidikdə (birdəfəlik)</v>
      </c>
      <c r="B224" s="25" t="s">
        <v>35</v>
      </c>
      <c r="C224" s="24" t="s">
        <v>41</v>
      </c>
      <c r="D224" s="25" t="s">
        <v>37</v>
      </c>
      <c r="E224" s="25" t="s">
        <v>42</v>
      </c>
      <c r="F224" s="26" t="s">
        <v>43</v>
      </c>
      <c r="G224" s="26" t="s">
        <v>80</v>
      </c>
    </row>
    <row r="225" spans="1:7" ht="20.100000000000001" customHeight="1">
      <c r="A225" s="24" t="str">
        <f ca="1">IFERROR(__xludf.DUMMYFUNCTION("""COMPUTED_VALUE"""),"Qlükoza sidikdə (sutkalıq)")</f>
        <v>Qlükoza sidikdə (sutkalıq)</v>
      </c>
      <c r="B225" s="25" t="s">
        <v>35</v>
      </c>
      <c r="C225" s="24" t="s">
        <v>41</v>
      </c>
      <c r="D225" s="25" t="s">
        <v>37</v>
      </c>
      <c r="E225" s="25" t="s">
        <v>42</v>
      </c>
      <c r="F225" s="26" t="s">
        <v>43</v>
      </c>
      <c r="G225" s="26" t="s">
        <v>40</v>
      </c>
    </row>
    <row r="226" spans="1:7" ht="20.100000000000001" customHeight="1">
      <c r="A226" s="24" t="str">
        <f ca="1">IFERROR(__xludf.DUMMYFUNCTION("""COMPUTED_VALUE"""),"Sidik cövhəri (UREA) sidikdə (sutkalıq)")</f>
        <v>Sidik cövhəri (UREA) sidikdə (sutkalıq)</v>
      </c>
      <c r="B226" s="25" t="s">
        <v>35</v>
      </c>
      <c r="C226" s="24" t="s">
        <v>41</v>
      </c>
      <c r="D226" s="25" t="s">
        <v>37</v>
      </c>
      <c r="E226" s="25" t="s">
        <v>42</v>
      </c>
      <c r="F226" s="26" t="s">
        <v>43</v>
      </c>
      <c r="G226" s="26" t="s">
        <v>40</v>
      </c>
    </row>
    <row r="227" spans="1:7" ht="20.100000000000001" customHeight="1">
      <c r="A227" s="24" t="str">
        <f ca="1">IFERROR(__xludf.DUMMYFUNCTION("""COMPUTED_VALUE"""),"Sidik turşusu (URİC) sidikdə (sutkalıq)")</f>
        <v>Sidik turşusu (URİC) sidikdə (sutkalıq)</v>
      </c>
      <c r="B227" s="25" t="s">
        <v>35</v>
      </c>
      <c r="C227" s="24" t="s">
        <v>41</v>
      </c>
      <c r="D227" s="25" t="s">
        <v>37</v>
      </c>
      <c r="E227" s="25" t="s">
        <v>42</v>
      </c>
      <c r="F227" s="26" t="s">
        <v>43</v>
      </c>
      <c r="G227" s="26" t="s">
        <v>40</v>
      </c>
    </row>
    <row r="228" spans="1:7" ht="20.100000000000001" customHeight="1">
      <c r="A228" s="24" t="str">
        <f ca="1">IFERROR(__xludf.DUMMYFUNCTION("""COMPUTED_VALUE"""),"Sidiyin bakterioloji müayinəsi")</f>
        <v>Sidiyin bakterioloji müayinəsi</v>
      </c>
      <c r="B228" s="25" t="s">
        <v>67</v>
      </c>
      <c r="C228" s="24" t="s">
        <v>41</v>
      </c>
      <c r="D228" s="25" t="s">
        <v>37</v>
      </c>
      <c r="E228" s="25" t="s">
        <v>42</v>
      </c>
      <c r="F228" s="26" t="s">
        <v>92</v>
      </c>
      <c r="G228" s="26" t="s">
        <v>40</v>
      </c>
    </row>
    <row r="229" spans="1:7" ht="20.100000000000001" customHeight="1">
      <c r="A229" s="24" t="str">
        <f ca="1">IFERROR(__xludf.DUMMYFUNCTION("""COMPUTED_VALUE"""),"Sidiyin kliniki analizi")</f>
        <v>Sidiyin kliniki analizi</v>
      </c>
      <c r="B229" s="25" t="s">
        <v>98</v>
      </c>
      <c r="C229" s="24" t="s">
        <v>41</v>
      </c>
      <c r="D229" s="25" t="s">
        <v>37</v>
      </c>
      <c r="E229" s="25" t="s">
        <v>42</v>
      </c>
      <c r="F229" s="26" t="s">
        <v>43</v>
      </c>
      <c r="G229" s="26" t="s">
        <v>70</v>
      </c>
    </row>
    <row r="230" spans="1:7" ht="20.100000000000001" customHeight="1">
      <c r="A230" s="24" t="str">
        <f ca="1">IFERROR(__xludf.DUMMYFUNCTION("""COMPUTED_VALUE"""),"Sidiyin müayinəsi (11 parametr)")</f>
        <v>Sidiyin müayinəsi (11 parametr)</v>
      </c>
      <c r="B230" s="25" t="s">
        <v>99</v>
      </c>
      <c r="C230" s="24" t="s">
        <v>41</v>
      </c>
      <c r="D230" s="25" t="s">
        <v>37</v>
      </c>
      <c r="E230" s="25" t="s">
        <v>42</v>
      </c>
      <c r="F230" s="26" t="s">
        <v>43</v>
      </c>
      <c r="G230" s="26" t="s">
        <v>40</v>
      </c>
    </row>
    <row r="231" spans="1:7" ht="20.100000000000001" customHeight="1">
      <c r="A231" s="24" t="str">
        <f ca="1">IFERROR(__xludf.DUMMYFUNCTION("""COMPUTED_VALUE"""),"Sidiyin müayinəsi (ı porsiya)")</f>
        <v>Sidiyin müayinəsi (ı porsiya)</v>
      </c>
      <c r="B231" s="25" t="s">
        <v>94</v>
      </c>
      <c r="C231" s="24" t="s">
        <v>41</v>
      </c>
      <c r="D231" s="25" t="s">
        <v>37</v>
      </c>
      <c r="E231" s="25" t="s">
        <v>42</v>
      </c>
      <c r="F231" s="26" t="s">
        <v>43</v>
      </c>
      <c r="G231" s="26" t="s">
        <v>40</v>
      </c>
    </row>
    <row r="232" spans="1:7" ht="20.100000000000001" customHeight="1">
      <c r="A232" s="24" t="str">
        <f ca="1">IFERROR(__xludf.DUMMYFUNCTION("""COMPUTED_VALUE"""),"Sidiyin müayinəsi (ıı porsiya)")</f>
        <v>Sidiyin müayinəsi (ıı porsiya)</v>
      </c>
      <c r="B232" s="25" t="s">
        <v>94</v>
      </c>
      <c r="C232" s="24" t="s">
        <v>41</v>
      </c>
      <c r="D232" s="25" t="s">
        <v>37</v>
      </c>
      <c r="E232" s="25" t="s">
        <v>42</v>
      </c>
      <c r="F232" s="26" t="s">
        <v>43</v>
      </c>
      <c r="G232" s="26" t="s">
        <v>40</v>
      </c>
    </row>
    <row r="233" spans="1:7" ht="20.100000000000001" customHeight="1">
      <c r="A233" s="24" t="str">
        <f ca="1">IFERROR(__xludf.DUMMYFUNCTION("""COMPUTED_VALUE"""),"Sidiyin müayinəsi (ııı porsiya)")</f>
        <v>Sidiyin müayinəsi (ııı porsiya)</v>
      </c>
      <c r="B233" s="25" t="s">
        <v>94</v>
      </c>
      <c r="C233" s="24" t="s">
        <v>41</v>
      </c>
      <c r="D233" s="25" t="s">
        <v>37</v>
      </c>
      <c r="E233" s="25" t="s">
        <v>42</v>
      </c>
      <c r="F233" s="26" t="s">
        <v>43</v>
      </c>
      <c r="G233" s="26" t="s">
        <v>40</v>
      </c>
    </row>
    <row r="234" spans="1:7" ht="20.100000000000001" customHeight="1">
      <c r="A234" s="24" t="str">
        <f ca="1">IFERROR(__xludf.DUMMYFUNCTION("""COMPUTED_VALUE"""),"Sidiyin müayinəsi(Prost.Vəz.Massaj.Sonra)")</f>
        <v>Sidiyin müayinəsi(Prost.Vəz.Massaj.Sonra)</v>
      </c>
      <c r="B234" s="25" t="s">
        <v>98</v>
      </c>
      <c r="C234" s="24" t="s">
        <v>41</v>
      </c>
      <c r="D234" s="25" t="s">
        <v>37</v>
      </c>
      <c r="E234" s="25" t="s">
        <v>42</v>
      </c>
      <c r="F234" s="26" t="s">
        <v>43</v>
      </c>
      <c r="G234" s="26" t="s">
        <v>40</v>
      </c>
    </row>
    <row r="235" spans="1:7" ht="20.100000000000001" customHeight="1">
      <c r="A235" s="24" t="str">
        <f ca="1">IFERROR(__xludf.DUMMYFUNCTION("""COMPUTED_VALUE"""),"Sidiyin neçiporenko üsulu ilə müayinəsi")</f>
        <v>Sidiyin neçiporenko üsulu ilə müayinəsi</v>
      </c>
      <c r="B235" s="25" t="s">
        <v>94</v>
      </c>
      <c r="C235" s="24" t="s">
        <v>41</v>
      </c>
      <c r="D235" s="25" t="s">
        <v>37</v>
      </c>
      <c r="E235" s="25" t="s">
        <v>42</v>
      </c>
      <c r="F235" s="26" t="s">
        <v>43</v>
      </c>
      <c r="G235" s="26" t="s">
        <v>40</v>
      </c>
    </row>
    <row r="236" spans="1:7" ht="20.100000000000001" customHeight="1">
      <c r="A236" s="24" t="str">
        <f ca="1">IFERROR(__xludf.DUMMYFUNCTION("""COMPUTED_VALUE"""),"Sidiyin nisbi sıxlığı")</f>
        <v>Sidiyin nisbi sıxlığı</v>
      </c>
      <c r="B236" s="25" t="s">
        <v>94</v>
      </c>
      <c r="C236" s="24" t="s">
        <v>41</v>
      </c>
      <c r="D236" s="25" t="s">
        <v>37</v>
      </c>
      <c r="E236" s="25" t="s">
        <v>42</v>
      </c>
      <c r="F236" s="26" t="s">
        <v>43</v>
      </c>
      <c r="G236" s="26" t="s">
        <v>40</v>
      </c>
    </row>
    <row r="237" spans="1:7" ht="20.100000000000001" customHeight="1">
      <c r="A237" s="24" t="str">
        <f ca="1">IFERROR(__xludf.DUMMYFUNCTION("""COMPUTED_VALUE"""),"Zimnitski sınağı")</f>
        <v>Zimnitski sınağı</v>
      </c>
      <c r="B237" s="25" t="s">
        <v>94</v>
      </c>
      <c r="C237" s="24" t="s">
        <v>41</v>
      </c>
      <c r="D237" s="25" t="s">
        <v>37</v>
      </c>
      <c r="E237" s="25" t="s">
        <v>42</v>
      </c>
      <c r="F237" s="26" t="s">
        <v>43</v>
      </c>
      <c r="G237" s="26" t="s">
        <v>40</v>
      </c>
    </row>
    <row r="238" spans="1:7" ht="20.100000000000001" customHeight="1">
      <c r="A238" s="24" t="str">
        <f ca="1">IFERROR(__xludf.DUMMYFUNCTION("""COMPUTED_VALUE"""),"Zülal birdəfəlik sidikdə")</f>
        <v>Zülal birdəfəlik sidikdə</v>
      </c>
      <c r="B238" s="25" t="s">
        <v>35</v>
      </c>
      <c r="C238" s="24" t="s">
        <v>41</v>
      </c>
      <c r="D238" s="25" t="s">
        <v>37</v>
      </c>
      <c r="E238" s="25" t="s">
        <v>42</v>
      </c>
      <c r="F238" s="26" t="s">
        <v>43</v>
      </c>
      <c r="G238" s="26" t="s">
        <v>40</v>
      </c>
    </row>
    <row r="239" spans="1:7" ht="20.100000000000001" customHeight="1">
      <c r="A239" s="24" t="str">
        <f ca="1">IFERROR(__xludf.DUMMYFUNCTION("""COMPUTED_VALUE"""),"Zülal Sutkalıq sidikdə")</f>
        <v>Zülal Sutkalıq sidikdə</v>
      </c>
      <c r="B239" s="25" t="s">
        <v>35</v>
      </c>
      <c r="C239" s="24" t="s">
        <v>41</v>
      </c>
      <c r="D239" s="25" t="s">
        <v>37</v>
      </c>
      <c r="E239" s="25" t="s">
        <v>42</v>
      </c>
      <c r="F239" s="26" t="s">
        <v>43</v>
      </c>
      <c r="G239" s="26" t="s">
        <v>40</v>
      </c>
    </row>
    <row r="240" spans="1:7" ht="20.100000000000001" customHeight="1">
      <c r="A240" s="24" t="str">
        <f ca="1">IFERROR(__xludf.DUMMYFUNCTION("""COMPUTED_VALUE"""),"Enterobioza görə sıyrıntı")</f>
        <v>Enterobioza görə sıyrıntı</v>
      </c>
      <c r="B240" s="25" t="s">
        <v>94</v>
      </c>
      <c r="C240" s="24" t="s">
        <v>95</v>
      </c>
      <c r="D240" s="25" t="s">
        <v>37</v>
      </c>
      <c r="E240" s="25" t="s">
        <v>42</v>
      </c>
      <c r="F240" s="26" t="s">
        <v>49</v>
      </c>
      <c r="G240" s="26" t="s">
        <v>40</v>
      </c>
    </row>
    <row r="241" spans="1:8" ht="20.100000000000001" customHeight="1">
      <c r="A241" s="24" t="str">
        <f ca="1">IFERROR(__xludf.DUMMYFUNCTION("""COMPUTED_VALUE"""),"Nəcisdə gizli qanın təyini")</f>
        <v>Nəcisdə gizli qanın təyini</v>
      </c>
      <c r="B241" s="25" t="s">
        <v>60</v>
      </c>
      <c r="C241" s="24" t="s">
        <v>65</v>
      </c>
      <c r="D241" s="25" t="s">
        <v>37</v>
      </c>
      <c r="E241" s="25" t="s">
        <v>100</v>
      </c>
      <c r="F241" s="26" t="s">
        <v>49</v>
      </c>
      <c r="G241" s="26"/>
    </row>
    <row r="242" spans="1:8" ht="20.100000000000001" customHeight="1">
      <c r="A242" s="24" t="str">
        <f ca="1">IFERROR(__xludf.DUMMYFUNCTION("""COMPUTED_VALUE"""),"Nəcisdə Helicobakter pylorinin təyini")</f>
        <v>Nəcisdə Helicobakter pylorinin təyini</v>
      </c>
      <c r="B242" s="25" t="s">
        <v>60</v>
      </c>
      <c r="C242" s="24" t="s">
        <v>65</v>
      </c>
      <c r="D242" s="25" t="s">
        <v>37</v>
      </c>
      <c r="E242" s="25" t="s">
        <v>42</v>
      </c>
      <c r="F242" s="26" t="s">
        <v>49</v>
      </c>
      <c r="G242" s="26"/>
    </row>
    <row r="243" spans="1:8" ht="20.100000000000001" customHeight="1">
      <c r="A243" s="24" t="str">
        <f ca="1">IFERROR(__xludf.DUMMYFUNCTION("""COMPUTED_VALUE"""),"Nəcisin bakterioloji müayinəsi")</f>
        <v>Nəcisin bakterioloji müayinəsi</v>
      </c>
      <c r="B243" s="25" t="s">
        <v>67</v>
      </c>
      <c r="C243" s="24" t="s">
        <v>65</v>
      </c>
      <c r="D243" s="25" t="s">
        <v>37</v>
      </c>
      <c r="E243" s="25" t="s">
        <v>69</v>
      </c>
      <c r="F243" s="26" t="s">
        <v>49</v>
      </c>
      <c r="G243" s="26" t="s">
        <v>76</v>
      </c>
    </row>
    <row r="244" spans="1:8" ht="27.75" customHeight="1">
      <c r="A244" s="24" t="str">
        <f ca="1">IFERROR(__xludf.DUMMYFUNCTION("""COMPUTED_VALUE"""),"Nəcisin bakterioloji müayinəsi + antibiotikoqramma")</f>
        <v>Nəcisin bakterioloji müayinəsi + antibiotikoqramma</v>
      </c>
      <c r="B244" s="25" t="s">
        <v>67</v>
      </c>
      <c r="C244" s="24" t="s">
        <v>65</v>
      </c>
      <c r="D244" s="25" t="s">
        <v>37</v>
      </c>
      <c r="E244" s="25" t="s">
        <v>69</v>
      </c>
      <c r="F244" s="26" t="s">
        <v>49</v>
      </c>
      <c r="G244" s="26" t="s">
        <v>101</v>
      </c>
    </row>
    <row r="245" spans="1:8" ht="20.100000000000001" customHeight="1">
      <c r="A245" s="24" t="str">
        <f ca="1">IFERROR(__xludf.DUMMYFUNCTION("""COMPUTED_VALUE"""),"Nəcisin kliniki analizi")</f>
        <v>Nəcisin kliniki analizi</v>
      </c>
      <c r="B245" s="25" t="s">
        <v>67</v>
      </c>
      <c r="C245" s="24" t="s">
        <v>65</v>
      </c>
      <c r="D245" s="25" t="s">
        <v>37</v>
      </c>
      <c r="E245" s="25" t="s">
        <v>42</v>
      </c>
      <c r="F245" s="26" t="s">
        <v>49</v>
      </c>
      <c r="G245" s="26" t="s">
        <v>40</v>
      </c>
    </row>
    <row r="246" spans="1:8" ht="20.100000000000001" customHeight="1">
      <c r="A246" s="24" t="str">
        <f ca="1">IFERROR(__xludf.DUMMYFUNCTION("""COMPUTED_VALUE"""),"Qurd yumurtaları və ibtidailərin təyini")</f>
        <v>Qurd yumurtaları və ibtidailərin təyini</v>
      </c>
      <c r="B246" s="25" t="s">
        <v>94</v>
      </c>
      <c r="C246" s="24" t="s">
        <v>65</v>
      </c>
      <c r="D246" s="25" t="s">
        <v>37</v>
      </c>
      <c r="E246" s="25" t="s">
        <v>42</v>
      </c>
      <c r="F246" s="26" t="s">
        <v>66</v>
      </c>
      <c r="G246" s="26"/>
    </row>
    <row r="247" spans="1:8" ht="20.100000000000001" customHeight="1">
      <c r="A247" s="24" t="str">
        <f ca="1">IFERROR(__xludf.DUMMYFUNCTION("""COMPUTED_VALUE"""),"Eyakulyatın (spermanın) bakterioloji müayinəsi")</f>
        <v>Eyakulyatın (spermanın) bakterioloji müayinəsi</v>
      </c>
      <c r="B247" s="25" t="s">
        <v>67</v>
      </c>
      <c r="C247" s="24" t="s">
        <v>68</v>
      </c>
      <c r="D247" s="25" t="s">
        <v>37</v>
      </c>
      <c r="E247" s="25" t="s">
        <v>69</v>
      </c>
      <c r="F247" s="26" t="s">
        <v>77</v>
      </c>
      <c r="G247" s="26" t="s">
        <v>47</v>
      </c>
    </row>
    <row r="248" spans="1:8" ht="20.100000000000001" customHeight="1">
      <c r="A248" s="24" t="str">
        <f ca="1">IFERROR(__xludf.DUMMYFUNCTION("""COMPUTED_VALUE"""),"Eyakulyatın (spermanın) bakterioloji müayinəsi + antibiotikoqramma")</f>
        <v>Eyakulyatın (spermanın) bakterioloji müayinəsi + antibiotikoqramma</v>
      </c>
      <c r="B248" s="25" t="s">
        <v>67</v>
      </c>
      <c r="C248" s="24" t="s">
        <v>68</v>
      </c>
      <c r="D248" s="25" t="s">
        <v>37</v>
      </c>
      <c r="E248" s="25" t="s">
        <v>69</v>
      </c>
      <c r="F248" s="26" t="s">
        <v>77</v>
      </c>
      <c r="G248" s="26"/>
    </row>
    <row r="249" spans="1:8" ht="20.100000000000001" customHeight="1">
      <c r="A249" s="24" t="str">
        <f ca="1">IFERROR(__xludf.DUMMYFUNCTION("""COMPUTED_VALUE"""),"Mycoplasma və ureaplazma əkilməsi+antibiotikoqramma(eyakulat)")</f>
        <v>Mycoplasma və ureaplazma əkilməsi+antibiotikoqramma(eyakulat)</v>
      </c>
      <c r="B249" s="25" t="s">
        <v>67</v>
      </c>
      <c r="C249" s="24" t="s">
        <v>68</v>
      </c>
      <c r="D249" s="25" t="s">
        <v>37</v>
      </c>
      <c r="E249" s="25" t="s">
        <v>78</v>
      </c>
      <c r="F249" s="26" t="s">
        <v>82</v>
      </c>
      <c r="G249" s="26"/>
    </row>
    <row r="250" spans="1:8" ht="20.100000000000001" customHeight="1">
      <c r="A250" s="24" t="str">
        <f ca="1">IFERROR(__xludf.DUMMYFUNCTION("""COMPUTED_VALUE"""),"Spermoqramma")</f>
        <v>Spermoqramma</v>
      </c>
      <c r="B250" s="25" t="s">
        <v>94</v>
      </c>
      <c r="C250" s="24" t="s">
        <v>68</v>
      </c>
      <c r="D250" s="25" t="s">
        <v>37</v>
      </c>
      <c r="E250" s="25" t="s">
        <v>42</v>
      </c>
      <c r="F250" s="26"/>
      <c r="G250" s="26"/>
    </row>
    <row r="251" spans="1:8" ht="20.100000000000001" customHeight="1">
      <c r="A251" s="24" t="str">
        <f ca="1">IFERROR(__xludf.DUMMYFUNCTION("""COMPUTED_VALUE"""),"Eritrositlərin çökmə sürəti (EÇS)")</f>
        <v>Eritrositlərin çökmə sürəti (EÇS)</v>
      </c>
      <c r="B251" s="25" t="s">
        <v>102</v>
      </c>
      <c r="C251" s="24" t="s">
        <v>102</v>
      </c>
      <c r="D251" s="25" t="s">
        <v>37</v>
      </c>
      <c r="E251" s="25" t="s">
        <v>103</v>
      </c>
      <c r="F251" s="26" t="s">
        <v>48</v>
      </c>
      <c r="G251" s="26" t="s">
        <v>40</v>
      </c>
    </row>
    <row r="252" spans="1:8" ht="20.100000000000001" customHeight="1">
      <c r="A252" s="24" t="str">
        <f ca="1">IFERROR(__xludf.DUMMYFUNCTION("""COMPUTED_VALUE"""),"Qan ümumi analizi + retikulositlər + leykoformula")</f>
        <v>Qan ümumi analizi + retikulositlər + leykoformula</v>
      </c>
      <c r="B252" s="25" t="s">
        <v>104</v>
      </c>
      <c r="C252" s="24" t="s">
        <v>36</v>
      </c>
      <c r="D252" s="25" t="s">
        <v>37</v>
      </c>
      <c r="E252" s="25" t="s">
        <v>103</v>
      </c>
      <c r="F252" s="26" t="s">
        <v>48</v>
      </c>
      <c r="G252" s="26" t="s">
        <v>40</v>
      </c>
    </row>
    <row r="253" spans="1:8" ht="20.100000000000001" customHeight="1">
      <c r="A253" s="24" t="str">
        <f ca="1">IFERROR(__xludf.DUMMYFUNCTION("""COMPUTED_VALUE"""),"Qan ümumi analizi 14 parametr+ retikulositlər")</f>
        <v>Qan ümumi analizi 14 parametr+ retikulositlər</v>
      </c>
      <c r="B253" s="25" t="s">
        <v>104</v>
      </c>
      <c r="C253" s="24" t="s">
        <v>36</v>
      </c>
      <c r="D253" s="25" t="s">
        <v>37</v>
      </c>
      <c r="E253" s="25" t="s">
        <v>103</v>
      </c>
      <c r="F253" s="26" t="s">
        <v>48</v>
      </c>
      <c r="G253" s="26" t="s">
        <v>40</v>
      </c>
    </row>
    <row r="254" spans="1:8" ht="20.100000000000001" customHeight="1">
      <c r="A254" s="24" t="str">
        <f ca="1">IFERROR(__xludf.DUMMYFUNCTION("""COMPUTED_VALUE"""),"Qanın kliniki analizi (14 parametr sysmex)")</f>
        <v>Qanın kliniki analizi (14 parametr sysmex)</v>
      </c>
      <c r="B254" s="25" t="s">
        <v>104</v>
      </c>
      <c r="C254" s="24" t="s">
        <v>36</v>
      </c>
      <c r="D254" s="25" t="s">
        <v>37</v>
      </c>
      <c r="E254" s="25" t="s">
        <v>103</v>
      </c>
      <c r="F254" s="26" t="s">
        <v>48</v>
      </c>
      <c r="G254" s="26" t="s">
        <v>40</v>
      </c>
      <c r="H254" s="10"/>
    </row>
    <row r="255" spans="1:8" ht="20.100000000000001" customHeight="1">
      <c r="A255" s="24" t="str">
        <f ca="1">IFERROR(__xludf.DUMMYFUNCTION("""COMPUTED_VALUE"""),"Qanın kliniki analizi + leykoformula (EÇS daxil deyil)")</f>
        <v>Qanın kliniki analizi + leykoformula (EÇS daxil deyil)</v>
      </c>
      <c r="B255" s="25" t="s">
        <v>104</v>
      </c>
      <c r="C255" s="24" t="s">
        <v>36</v>
      </c>
      <c r="D255" s="25" t="s">
        <v>37</v>
      </c>
      <c r="E255" s="25" t="s">
        <v>103</v>
      </c>
      <c r="F255" s="26" t="s">
        <v>48</v>
      </c>
      <c r="G255" s="26"/>
      <c r="H255" s="10"/>
    </row>
    <row r="256" spans="1:8" ht="20.100000000000001" customHeight="1">
      <c r="A256" s="24" t="str">
        <f ca="1">IFERROR(__xludf.DUMMYFUNCTION("""COMPUTED_VALUE"""),"Qanın kliniki analizi+leykoformula")</f>
        <v>Qanın kliniki analizi+leykoformula</v>
      </c>
      <c r="B256" s="25" t="s">
        <v>104</v>
      </c>
      <c r="C256" s="24" t="s">
        <v>36</v>
      </c>
      <c r="D256" s="25" t="s">
        <v>37</v>
      </c>
      <c r="E256" s="25" t="s">
        <v>103</v>
      </c>
      <c r="F256" s="26" t="s">
        <v>48</v>
      </c>
      <c r="G256" s="26" t="s">
        <v>40</v>
      </c>
      <c r="H256" s="10"/>
    </row>
    <row r="257" spans="1:9" ht="20.100000000000001" customHeight="1">
      <c r="A257" s="24" t="str">
        <f ca="1">IFERROR(__xludf.DUMMYFUNCTION("""COMPUTED_VALUE"""),"Kumbs reaksiyası (düz)")</f>
        <v>Kumbs reaksiyası (düz)</v>
      </c>
      <c r="B257" s="25" t="s">
        <v>105</v>
      </c>
      <c r="C257" s="24" t="s">
        <v>53</v>
      </c>
      <c r="D257" s="25" t="s">
        <v>37</v>
      </c>
      <c r="E257" s="25" t="s">
        <v>38</v>
      </c>
      <c r="F257" s="26" t="s">
        <v>39</v>
      </c>
      <c r="G257" s="26" t="s">
        <v>40</v>
      </c>
      <c r="H257" s="10"/>
    </row>
    <row r="258" spans="1:9" ht="20.100000000000001" customHeight="1">
      <c r="A258" s="24" t="str">
        <f ca="1">IFERROR(__xludf.DUMMYFUNCTION("""COMPUTED_VALUE"""),"Kumbs reaksiyası (qeyri-düz)")</f>
        <v>Kumbs reaksiyası (qeyri-düz)</v>
      </c>
      <c r="B258" s="25" t="s">
        <v>105</v>
      </c>
      <c r="C258" s="24" t="s">
        <v>53</v>
      </c>
      <c r="D258" s="25" t="s">
        <v>37</v>
      </c>
      <c r="E258" s="25" t="s">
        <v>38</v>
      </c>
      <c r="F258" s="26" t="s">
        <v>39</v>
      </c>
      <c r="G258" s="26" t="s">
        <v>40</v>
      </c>
      <c r="H258" s="10"/>
    </row>
    <row r="259" spans="1:9" ht="20.100000000000001" customHeight="1">
      <c r="A259" s="24" t="str">
        <f ca="1">IFERROR(__xludf.DUMMYFUNCTION("""COMPUTED_VALUE"""),"Kumbs reaksiyası (qeyri-düz) (Titr)")</f>
        <v>Kumbs reaksiyası (qeyri-düz) (Titr)</v>
      </c>
      <c r="B259" s="25" t="s">
        <v>105</v>
      </c>
      <c r="C259" s="24" t="s">
        <v>53</v>
      </c>
      <c r="D259" s="25" t="s">
        <v>37</v>
      </c>
      <c r="E259" s="25" t="s">
        <v>38</v>
      </c>
      <c r="F259" s="26" t="s">
        <v>39</v>
      </c>
      <c r="G259" s="26" t="s">
        <v>40</v>
      </c>
      <c r="H259" s="10"/>
    </row>
    <row r="260" spans="1:9" ht="20.100000000000001" customHeight="1">
      <c r="A260" s="24" t="str">
        <f ca="1">IFERROR(__xludf.DUMMYFUNCTION("""COMPUTED_VALUE"""),"Qan qrupu (gel-aqqlütinasiya)")</f>
        <v>Qan qrupu (gel-aqqlütinasiya)</v>
      </c>
      <c r="B260" s="25" t="s">
        <v>105</v>
      </c>
      <c r="C260" s="24" t="s">
        <v>36</v>
      </c>
      <c r="D260" s="25" t="s">
        <v>37</v>
      </c>
      <c r="E260" s="25" t="s">
        <v>42</v>
      </c>
      <c r="F260" s="26" t="s">
        <v>48</v>
      </c>
      <c r="G260" s="26" t="s">
        <v>40</v>
      </c>
      <c r="H260" s="10"/>
    </row>
    <row r="261" spans="1:9" ht="20.100000000000001" customHeight="1">
      <c r="A261" s="24" t="str">
        <f ca="1">IFERROR(__xludf.DUMMYFUNCTION("""COMPUTED_VALUE"""),"Qan qrupu və rezus faktorun təyini (sum)")</f>
        <v>Qan qrupu və rezus faktorun təyini (sum)</v>
      </c>
      <c r="B261" s="25" t="s">
        <v>105</v>
      </c>
      <c r="C261" s="24" t="s">
        <v>36</v>
      </c>
      <c r="D261" s="25" t="s">
        <v>37</v>
      </c>
      <c r="E261" s="25" t="s">
        <v>42</v>
      </c>
      <c r="F261" s="26" t="s">
        <v>48</v>
      </c>
      <c r="G261" s="26" t="s">
        <v>40</v>
      </c>
      <c r="H261" s="10"/>
    </row>
    <row r="262" spans="1:9" ht="20.100000000000001" customHeight="1">
      <c r="A262" s="24" t="str">
        <f ca="1">IFERROR(__xludf.DUMMYFUNCTION("""COMPUTED_VALUE"""),"Leykoformula manual")</f>
        <v>Leykoformula manual</v>
      </c>
      <c r="B262" s="25" t="s">
        <v>94</v>
      </c>
      <c r="C262" s="24" t="s">
        <v>53</v>
      </c>
      <c r="D262" s="25" t="s">
        <v>106</v>
      </c>
      <c r="E262" s="25" t="s">
        <v>107</v>
      </c>
      <c r="F262" s="26" t="s">
        <v>45</v>
      </c>
      <c r="G262" s="26"/>
      <c r="H262" s="10"/>
    </row>
    <row r="263" spans="1:9" ht="20.100000000000001" customHeight="1">
      <c r="A263" s="24" t="str">
        <f ca="1">IFERROR(__xludf.DUMMYFUNCTION("""COMPUTED_VALUE"""),"Prostat vəzi şirəsinin müayinəsi")</f>
        <v>Prostat vəzi şirəsinin müayinəsi</v>
      </c>
      <c r="B263" s="25" t="s">
        <v>94</v>
      </c>
      <c r="C263" s="24" t="s">
        <v>95</v>
      </c>
      <c r="D263" s="25" t="s">
        <v>106</v>
      </c>
      <c r="E263" s="25" t="s">
        <v>107</v>
      </c>
      <c r="F263" s="26"/>
      <c r="G263" s="26"/>
      <c r="H263" s="10"/>
    </row>
    <row r="264" spans="1:9" ht="20.100000000000001" customHeight="1">
      <c r="A264" s="24" t="str">
        <f ca="1">IFERROR(__xludf.DUMMYFUNCTION("""COMPUTED_VALUE"""),"Retroqrad eyakulyasiyanın təyini")</f>
        <v>Retroqrad eyakulyasiyanın təyini</v>
      </c>
      <c r="B264" s="25" t="s">
        <v>94</v>
      </c>
      <c r="C264" s="24" t="s">
        <v>41</v>
      </c>
      <c r="D264" s="25" t="s">
        <v>106</v>
      </c>
      <c r="E264" s="25" t="s">
        <v>107</v>
      </c>
      <c r="F264" s="26"/>
      <c r="G264" s="26"/>
      <c r="H264" s="10"/>
    </row>
    <row r="265" spans="1:9" ht="20.100000000000001" customHeight="1">
      <c r="A265" s="24" t="str">
        <f ca="1">IFERROR(__xludf.DUMMYFUNCTION("""COMPUTED_VALUE"""),"Rinositoqramma (burun yaxmasının müayinəsi)")</f>
        <v>Rinositoqramma (burun yaxmasının müayinəsi)</v>
      </c>
      <c r="B265" s="25" t="s">
        <v>94</v>
      </c>
      <c r="C265" s="24" t="s">
        <v>95</v>
      </c>
      <c r="D265" s="25" t="s">
        <v>106</v>
      </c>
      <c r="E265" s="25" t="s">
        <v>107</v>
      </c>
      <c r="F265" s="26"/>
      <c r="G265" s="26"/>
      <c r="H265" s="10"/>
    </row>
    <row r="266" spans="1:9" ht="20.100000000000001" customHeight="1">
      <c r="A266" s="24" t="str">
        <f ca="1">IFERROR(__xludf.DUMMYFUNCTION("""COMPUTED_VALUE"""),"Spermoqramma")</f>
        <v>Spermoqramma</v>
      </c>
      <c r="B266" s="25" t="s">
        <v>94</v>
      </c>
      <c r="C266" s="24" t="s">
        <v>68</v>
      </c>
      <c r="D266" s="25" t="s">
        <v>106</v>
      </c>
      <c r="E266" s="25" t="s">
        <v>108</v>
      </c>
      <c r="F266" s="26"/>
      <c r="G266" s="26"/>
      <c r="H266" s="10"/>
    </row>
    <row r="267" spans="1:9" ht="20.100000000000001" customHeight="1">
      <c r="A267" s="24" t="str">
        <f ca="1">IFERROR(__xludf.DUMMYFUNCTION("""COMPUTED_VALUE"""),"Südün mikroskopiyası (sağ)")</f>
        <v>Südün mikroskopiyası (sağ)</v>
      </c>
      <c r="B267" s="25" t="s">
        <v>94</v>
      </c>
      <c r="C267" s="24" t="s">
        <v>68</v>
      </c>
      <c r="D267" s="25" t="s">
        <v>106</v>
      </c>
      <c r="E267" s="25" t="s">
        <v>108</v>
      </c>
      <c r="F267" s="26" t="s">
        <v>71</v>
      </c>
      <c r="G267" s="26" t="s">
        <v>71</v>
      </c>
      <c r="H267" s="10"/>
    </row>
    <row r="268" spans="1:9" ht="20.100000000000001" customHeight="1">
      <c r="A268" s="24" t="str">
        <f ca="1">IFERROR(__xludf.DUMMYFUNCTION("""COMPUTED_VALUE"""),"Südün mikroskopiyası (sol)")</f>
        <v>Südün mikroskopiyası (sol)</v>
      </c>
      <c r="B268" s="25" t="s">
        <v>94</v>
      </c>
      <c r="C268" s="24" t="s">
        <v>68</v>
      </c>
      <c r="D268" s="25" t="s">
        <v>106</v>
      </c>
      <c r="E268" s="25" t="s">
        <v>108</v>
      </c>
      <c r="F268" s="26" t="s">
        <v>71</v>
      </c>
      <c r="G268" s="26" t="s">
        <v>71</v>
      </c>
      <c r="H268" s="10"/>
      <c r="I268" s="4"/>
    </row>
    <row r="269" spans="1:9" ht="20.100000000000001" customHeight="1">
      <c r="A269" s="24" t="str">
        <f ca="1">IFERROR(__xludf.DUMMYFUNCTION("""COMPUTED_VALUE"""),"Yaxmanın kliniki analizi (Kişi)")</f>
        <v>Yaxmanın kliniki analizi (Kişi)</v>
      </c>
      <c r="B269" s="25" t="s">
        <v>94</v>
      </c>
      <c r="C269" s="24" t="s">
        <v>109</v>
      </c>
      <c r="D269" s="25" t="s">
        <v>106</v>
      </c>
      <c r="E269" s="25" t="s">
        <v>108</v>
      </c>
      <c r="F269" s="26" t="s">
        <v>49</v>
      </c>
      <c r="G269" s="26" t="s">
        <v>49</v>
      </c>
      <c r="H269" s="10"/>
      <c r="I269" s="4"/>
    </row>
    <row r="270" spans="1:9" ht="20.100000000000001" customHeight="1">
      <c r="A270" s="24" t="str">
        <f ca="1">IFERROR(__xludf.DUMMYFUNCTION("""COMPUTED_VALUE"""),"Yaxmanın kliniki analizi (Qadın)")</f>
        <v>Yaxmanın kliniki analizi (Qadın)</v>
      </c>
      <c r="B270" s="25" t="s">
        <v>94</v>
      </c>
      <c r="C270" s="24" t="s">
        <v>109</v>
      </c>
      <c r="D270" s="25" t="s">
        <v>106</v>
      </c>
      <c r="E270" s="25" t="s">
        <v>108</v>
      </c>
      <c r="F270" s="26" t="s">
        <v>49</v>
      </c>
      <c r="G270" s="26" t="s">
        <v>49</v>
      </c>
      <c r="H270" s="10"/>
      <c r="I270" s="4"/>
    </row>
    <row r="271" spans="1:9" ht="20.100000000000001" customHeight="1">
      <c r="A271" s="24" t="str">
        <f ca="1">IFERROR(__xludf.DUMMYFUNCTION("""COMPUTED_VALUE"""),"Yaxmanın kliniki analizi (VİRGO)")</f>
        <v>Yaxmanın kliniki analizi (VİRGO)</v>
      </c>
      <c r="B271" s="25" t="s">
        <v>94</v>
      </c>
      <c r="C271" s="24" t="s">
        <v>109</v>
      </c>
      <c r="D271" s="25" t="s">
        <v>106</v>
      </c>
      <c r="E271" s="25" t="s">
        <v>108</v>
      </c>
      <c r="F271" s="26" t="s">
        <v>49</v>
      </c>
      <c r="G271" s="26" t="s">
        <v>49</v>
      </c>
      <c r="H271" s="10"/>
      <c r="I271" s="4"/>
    </row>
    <row r="272" spans="1:9" ht="20.100000000000001" customHeight="1">
      <c r="A272" s="24" t="str">
        <f ca="1">IFERROR(__xludf.DUMMYFUNCTION("""COMPUTED_VALUE"""),"Yaxmanın mikroskopiyası (konyuktiva)")</f>
        <v>Yaxmanın mikroskopiyası (konyuktiva)</v>
      </c>
      <c r="B272" s="25" t="s">
        <v>94</v>
      </c>
      <c r="C272" s="24" t="s">
        <v>95</v>
      </c>
      <c r="D272" s="25" t="s">
        <v>106</v>
      </c>
      <c r="E272" s="25" t="s">
        <v>108</v>
      </c>
      <c r="F272" s="26" t="s">
        <v>49</v>
      </c>
      <c r="G272" s="26" t="s">
        <v>49</v>
      </c>
      <c r="H272" s="10"/>
      <c r="I272" s="4"/>
    </row>
    <row r="273" spans="1:9" ht="20.100000000000001" customHeight="1">
      <c r="A273" s="24" t="str">
        <f ca="1">IFERROR(__xludf.DUMMYFUNCTION("""COMPUTED_VALUE"""),"Şuvarski sınağı")</f>
        <v>Şuvarski sınağı</v>
      </c>
      <c r="B273" s="25" t="s">
        <v>94</v>
      </c>
      <c r="C273" s="24" t="s">
        <v>95</v>
      </c>
      <c r="D273" s="25" t="s">
        <v>37</v>
      </c>
      <c r="E273" s="25" t="s">
        <v>103</v>
      </c>
      <c r="F273" s="26" t="s">
        <v>49</v>
      </c>
      <c r="G273" s="26" t="s">
        <v>49</v>
      </c>
      <c r="H273" s="10"/>
      <c r="I273" s="4"/>
    </row>
    <row r="274" spans="1:9" ht="15">
      <c r="A274" s="24"/>
      <c r="B274" s="25"/>
      <c r="C274" s="24"/>
      <c r="D274" s="24"/>
      <c r="E274" s="24"/>
      <c r="F274" s="31"/>
      <c r="G274" s="31"/>
      <c r="H274" s="10"/>
      <c r="I274" s="4"/>
    </row>
    <row r="275" spans="1:9" ht="15">
      <c r="A275" s="19"/>
      <c r="B275" s="20"/>
      <c r="C275" s="19"/>
      <c r="D275" s="19"/>
      <c r="E275" s="21"/>
      <c r="F275" s="22"/>
      <c r="G275" s="22"/>
      <c r="H275" s="10"/>
      <c r="I275" s="4"/>
    </row>
    <row r="276" spans="1:9" ht="15">
      <c r="A276" s="2"/>
      <c r="B276" s="12"/>
      <c r="C276" s="2"/>
      <c r="D276" s="2"/>
      <c r="E276" s="3"/>
      <c r="F276" s="7"/>
      <c r="G276" s="7"/>
      <c r="H276" s="10"/>
      <c r="I276" s="4"/>
    </row>
    <row r="277" spans="1:9" ht="15">
      <c r="A277" s="6"/>
      <c r="B277" s="16"/>
      <c r="C277" s="6"/>
      <c r="D277" s="6"/>
      <c r="E277" s="6"/>
      <c r="F277" s="8"/>
      <c r="G277" s="7"/>
      <c r="H277" s="10"/>
      <c r="I277" s="4"/>
    </row>
    <row r="278" spans="1:9" ht="15">
      <c r="A278" s="6"/>
      <c r="B278" s="16"/>
      <c r="C278" s="6"/>
      <c r="D278" s="6"/>
      <c r="E278" s="6"/>
      <c r="F278" s="8"/>
      <c r="G278" s="7"/>
      <c r="H278" s="10"/>
      <c r="I278" s="4"/>
    </row>
    <row r="279" spans="1:9" ht="15">
      <c r="A279" s="6"/>
      <c r="B279" s="16"/>
      <c r="C279" s="6"/>
      <c r="D279" s="6"/>
      <c r="E279" s="6"/>
      <c r="F279" s="8"/>
      <c r="G279" s="7"/>
      <c r="H279" s="10"/>
      <c r="I279" s="4"/>
    </row>
    <row r="280" spans="1:9" ht="15">
      <c r="A280" s="6"/>
      <c r="B280" s="16"/>
      <c r="C280" s="6"/>
      <c r="D280" s="6"/>
      <c r="E280" s="6"/>
      <c r="F280" s="8"/>
      <c r="G280" s="7"/>
      <c r="H280" s="10"/>
      <c r="I280" s="4"/>
    </row>
    <row r="281" spans="1:9" ht="15">
      <c r="A281" s="6"/>
      <c r="B281" s="16"/>
      <c r="C281" s="6"/>
      <c r="D281" s="6"/>
      <c r="E281" s="6"/>
      <c r="F281" s="8"/>
      <c r="G281" s="7"/>
      <c r="H281" s="10"/>
      <c r="I281" s="4"/>
    </row>
    <row r="282" spans="1:9" ht="15">
      <c r="A282" s="6"/>
      <c r="B282" s="16"/>
      <c r="C282" s="6"/>
      <c r="D282" s="6"/>
      <c r="E282" s="6"/>
      <c r="F282" s="8"/>
      <c r="G282" s="7"/>
      <c r="H282" s="10"/>
      <c r="I282" s="4"/>
    </row>
    <row r="283" spans="1:9" ht="15">
      <c r="A283" s="6"/>
      <c r="B283" s="16"/>
      <c r="C283" s="6"/>
      <c r="D283" s="6"/>
      <c r="E283" s="6"/>
      <c r="F283" s="8"/>
      <c r="G283" s="7"/>
      <c r="H283" s="10"/>
      <c r="I283" s="4"/>
    </row>
    <row r="284" spans="1:9" ht="15">
      <c r="A284" s="6"/>
      <c r="B284" s="16"/>
      <c r="C284" s="6"/>
      <c r="D284" s="6"/>
      <c r="E284" s="6"/>
      <c r="F284" s="8"/>
      <c r="G284" s="7"/>
      <c r="H284" s="10"/>
      <c r="I284" s="4"/>
    </row>
    <row r="285" spans="1:9" ht="15">
      <c r="A285" s="6"/>
      <c r="B285" s="16"/>
      <c r="C285" s="6"/>
      <c r="D285" s="6"/>
      <c r="E285" s="6"/>
      <c r="F285" s="8"/>
      <c r="G285" s="7"/>
      <c r="H285" s="10"/>
      <c r="I285" s="4"/>
    </row>
    <row r="286" spans="1:9" ht="15">
      <c r="A286" s="6"/>
      <c r="B286" s="16"/>
      <c r="C286" s="6"/>
      <c r="D286" s="6"/>
      <c r="E286" s="6"/>
      <c r="F286" s="8"/>
      <c r="G286" s="7"/>
      <c r="H286" s="10"/>
      <c r="I286" s="4"/>
    </row>
    <row r="287" spans="1:9" ht="15">
      <c r="A287" s="6"/>
      <c r="B287" s="16"/>
      <c r="C287" s="6"/>
      <c r="D287" s="6"/>
      <c r="E287" s="6"/>
      <c r="F287" s="8"/>
      <c r="G287" s="7"/>
      <c r="H287" s="10"/>
      <c r="I287" s="4"/>
    </row>
    <row r="288" spans="1:9" ht="15">
      <c r="A288" s="6"/>
      <c r="B288" s="16"/>
      <c r="C288" s="6"/>
      <c r="D288" s="6"/>
      <c r="E288" s="6"/>
      <c r="F288" s="8"/>
      <c r="G288" s="7"/>
      <c r="H288" s="10"/>
      <c r="I288" s="4"/>
    </row>
    <row r="289" spans="1:9" ht="15">
      <c r="A289" s="6"/>
      <c r="B289" s="16"/>
      <c r="C289" s="6"/>
      <c r="D289" s="6"/>
      <c r="E289" s="6"/>
      <c r="F289" s="8"/>
      <c r="G289" s="7"/>
      <c r="H289" s="10"/>
      <c r="I289" s="4"/>
    </row>
    <row r="290" spans="1:9" ht="15">
      <c r="A290" s="6"/>
      <c r="B290" s="16"/>
      <c r="C290" s="6"/>
      <c r="D290" s="6"/>
      <c r="E290" s="6"/>
      <c r="F290" s="8"/>
      <c r="G290" s="7"/>
      <c r="H290" s="10"/>
      <c r="I290" s="4"/>
    </row>
    <row r="291" spans="1:9" ht="15">
      <c r="A291" s="6"/>
      <c r="B291" s="16"/>
      <c r="C291" s="6"/>
      <c r="D291" s="6"/>
      <c r="E291" s="6"/>
      <c r="F291" s="8"/>
      <c r="G291" s="7"/>
      <c r="H291" s="10"/>
      <c r="I291" s="4"/>
    </row>
    <row r="292" spans="1:9" ht="15">
      <c r="C292" s="5"/>
      <c r="G292" s="9"/>
      <c r="H292" s="10"/>
      <c r="I292" s="4"/>
    </row>
    <row r="293" spans="1:9" ht="15">
      <c r="C293" s="5"/>
      <c r="G293" s="9"/>
      <c r="H293" s="10"/>
      <c r="I293" s="4"/>
    </row>
    <row r="294" spans="1:9" ht="15">
      <c r="C294" s="5"/>
      <c r="G294" s="9"/>
      <c r="H294" s="10"/>
      <c r="I294" s="4"/>
    </row>
    <row r="295" spans="1:9" ht="15">
      <c r="C295" s="5"/>
      <c r="G295" s="9"/>
      <c r="H295" s="10"/>
      <c r="I295" s="4"/>
    </row>
    <row r="296" spans="1:9" ht="15">
      <c r="C296" s="5"/>
      <c r="G296" s="9"/>
      <c r="H296" s="10"/>
      <c r="I296" s="4"/>
    </row>
    <row r="297" spans="1:9" ht="15">
      <c r="C297" s="5"/>
      <c r="G297" s="9"/>
      <c r="H297" s="10"/>
      <c r="I297" s="4"/>
    </row>
    <row r="298" spans="1:9" ht="15">
      <c r="C298" s="5"/>
      <c r="G298" s="9"/>
      <c r="H298" s="10"/>
      <c r="I298" s="4"/>
    </row>
    <row r="299" spans="1:9" ht="15">
      <c r="C299" s="5"/>
      <c r="G299" s="9"/>
      <c r="H299" s="10"/>
      <c r="I299" s="4"/>
    </row>
    <row r="300" spans="1:9" ht="15">
      <c r="C300" s="5"/>
      <c r="G300" s="9"/>
      <c r="H300" s="10"/>
      <c r="I300" s="4"/>
    </row>
    <row r="301" spans="1:9" ht="15">
      <c r="C301" s="5"/>
      <c r="G301" s="9"/>
      <c r="H301" s="10"/>
      <c r="I301" s="4"/>
    </row>
    <row r="302" spans="1:9" ht="15">
      <c r="C302" s="5"/>
      <c r="G302" s="9"/>
      <c r="H302" s="10"/>
      <c r="I302" s="4"/>
    </row>
    <row r="303" spans="1:9" ht="15">
      <c r="C303" s="5"/>
      <c r="G303" s="9"/>
      <c r="H303" s="10"/>
      <c r="I303" s="4"/>
    </row>
    <row r="304" spans="1:9" ht="15">
      <c r="C304" s="5"/>
      <c r="G304" s="9"/>
      <c r="H304" s="10"/>
      <c r="I304" s="4"/>
    </row>
    <row r="305" spans="3:9" ht="15">
      <c r="C305" s="5"/>
      <c r="G305" s="9"/>
      <c r="H305" s="10"/>
      <c r="I305" s="4"/>
    </row>
    <row r="306" spans="3:9" ht="15">
      <c r="C306" s="5"/>
      <c r="G306" s="9"/>
      <c r="H306" s="10"/>
      <c r="I306" s="4"/>
    </row>
    <row r="307" spans="3:9" ht="15">
      <c r="C307" s="5"/>
      <c r="G307" s="9"/>
      <c r="H307" s="10"/>
      <c r="I307" s="4"/>
    </row>
    <row r="308" spans="3:9" ht="15">
      <c r="C308" s="5"/>
      <c r="G308" s="9"/>
      <c r="H308" s="10"/>
      <c r="I308" s="4"/>
    </row>
    <row r="309" spans="3:9" ht="15">
      <c r="C309" s="5"/>
      <c r="G309" s="9"/>
      <c r="H309" s="10"/>
      <c r="I309" s="4"/>
    </row>
    <row r="310" spans="3:9" ht="15">
      <c r="C310" s="5"/>
      <c r="G310" s="9"/>
      <c r="H310" s="10"/>
      <c r="I310" s="4"/>
    </row>
    <row r="311" spans="3:9" ht="15">
      <c r="C311" s="5"/>
      <c r="G311" s="9"/>
      <c r="H311" s="10"/>
      <c r="I311" s="4"/>
    </row>
    <row r="312" spans="3:9" ht="15">
      <c r="C312" s="5"/>
      <c r="G312" s="9"/>
      <c r="H312" s="10"/>
      <c r="I312" s="4"/>
    </row>
    <row r="313" spans="3:9" ht="15">
      <c r="C313" s="5"/>
      <c r="G313" s="9"/>
      <c r="H313" s="10"/>
      <c r="I313" s="4"/>
    </row>
    <row r="314" spans="3:9" ht="15">
      <c r="C314" s="5"/>
      <c r="G314" s="9"/>
      <c r="H314" s="10"/>
      <c r="I314" s="4"/>
    </row>
    <row r="315" spans="3:9" ht="15">
      <c r="C315" s="5"/>
      <c r="G315" s="9"/>
      <c r="H315" s="10"/>
      <c r="I315" s="4"/>
    </row>
    <row r="316" spans="3:9" ht="15">
      <c r="C316" s="5"/>
      <c r="G316" s="9"/>
      <c r="H316" s="10"/>
      <c r="I316" s="4"/>
    </row>
    <row r="317" spans="3:9" ht="15">
      <c r="C317" s="5"/>
      <c r="G317" s="9"/>
      <c r="H317" s="10"/>
      <c r="I317" s="4"/>
    </row>
    <row r="318" spans="3:9" ht="15">
      <c r="C318" s="5"/>
      <c r="G318" s="9"/>
      <c r="H318" s="10"/>
      <c r="I318" s="4"/>
    </row>
    <row r="319" spans="3:9" ht="15">
      <c r="C319" s="5"/>
      <c r="G319" s="9"/>
      <c r="H319" s="10"/>
      <c r="I319" s="4"/>
    </row>
    <row r="320" spans="3:9" ht="15">
      <c r="C320" s="5"/>
      <c r="G320" s="9"/>
      <c r="H320" s="10"/>
      <c r="I320" s="4"/>
    </row>
    <row r="321" spans="3:9" ht="15">
      <c r="C321" s="5"/>
      <c r="G321" s="9"/>
      <c r="H321" s="10"/>
      <c r="I321" s="4"/>
    </row>
    <row r="322" spans="3:9" ht="15">
      <c r="C322" s="5"/>
      <c r="G322" s="9"/>
      <c r="H322" s="10"/>
      <c r="I322" s="4"/>
    </row>
    <row r="323" spans="3:9" ht="15">
      <c r="C323" s="5"/>
      <c r="G323" s="9"/>
      <c r="H323" s="10"/>
      <c r="I323" s="4"/>
    </row>
    <row r="324" spans="3:9" ht="15">
      <c r="C324" s="5"/>
      <c r="G324" s="9"/>
      <c r="H324" s="10"/>
      <c r="I324" s="4"/>
    </row>
    <row r="325" spans="3:9" ht="15">
      <c r="C325" s="5"/>
      <c r="G325" s="9"/>
      <c r="H325" s="10"/>
      <c r="I325" s="4"/>
    </row>
    <row r="326" spans="3:9" ht="15">
      <c r="C326" s="5"/>
      <c r="G326" s="9"/>
      <c r="H326" s="10"/>
      <c r="I326" s="4"/>
    </row>
    <row r="327" spans="3:9" ht="15">
      <c r="C327" s="5"/>
      <c r="G327" s="9"/>
      <c r="H327" s="10"/>
      <c r="I327" s="4"/>
    </row>
    <row r="328" spans="3:9" ht="15">
      <c r="C328" s="5"/>
      <c r="G328" s="9"/>
      <c r="H328" s="10"/>
      <c r="I328" s="4"/>
    </row>
    <row r="329" spans="3:9" ht="15">
      <c r="C329" s="5"/>
      <c r="G329" s="9"/>
      <c r="H329" s="10"/>
      <c r="I329" s="4"/>
    </row>
    <row r="330" spans="3:9" ht="15">
      <c r="C330" s="5"/>
      <c r="G330" s="9"/>
      <c r="H330" s="10"/>
      <c r="I330" s="4"/>
    </row>
    <row r="331" spans="3:9" ht="15">
      <c r="C331" s="5"/>
      <c r="G331" s="9"/>
      <c r="H331" s="10"/>
      <c r="I331" s="4"/>
    </row>
    <row r="332" spans="3:9" ht="15">
      <c r="C332" s="5"/>
      <c r="G332" s="9"/>
      <c r="H332" s="10"/>
      <c r="I332" s="4"/>
    </row>
    <row r="333" spans="3:9" ht="15">
      <c r="C333" s="5"/>
      <c r="G333" s="9"/>
      <c r="H333" s="10"/>
      <c r="I333" s="4"/>
    </row>
    <row r="334" spans="3:9" ht="15">
      <c r="C334" s="5"/>
      <c r="G334" s="9"/>
      <c r="H334" s="10"/>
      <c r="I334" s="4"/>
    </row>
    <row r="335" spans="3:9" ht="15">
      <c r="C335" s="5"/>
      <c r="G335" s="9"/>
      <c r="H335" s="10"/>
      <c r="I335" s="4"/>
    </row>
    <row r="336" spans="3:9" ht="15">
      <c r="C336" s="5"/>
      <c r="G336" s="9"/>
      <c r="H336" s="10"/>
      <c r="I336" s="4"/>
    </row>
    <row r="337" spans="3:9" ht="15">
      <c r="C337" s="5"/>
      <c r="G337" s="9"/>
      <c r="H337" s="10"/>
      <c r="I337" s="4"/>
    </row>
    <row r="338" spans="3:9" ht="15">
      <c r="C338" s="5"/>
      <c r="G338" s="9"/>
      <c r="H338" s="10"/>
      <c r="I338" s="4"/>
    </row>
    <row r="339" spans="3:9" ht="15">
      <c r="C339" s="5"/>
      <c r="G339" s="9"/>
      <c r="H339" s="10"/>
      <c r="I339" s="4"/>
    </row>
    <row r="340" spans="3:9" ht="15">
      <c r="C340" s="5"/>
      <c r="G340" s="9"/>
      <c r="H340" s="10"/>
      <c r="I340" s="4"/>
    </row>
    <row r="341" spans="3:9" ht="15">
      <c r="C341" s="5"/>
      <c r="G341" s="9"/>
      <c r="H341" s="10"/>
      <c r="I341" s="4"/>
    </row>
    <row r="342" spans="3:9" ht="15">
      <c r="C342" s="5"/>
      <c r="G342" s="9"/>
      <c r="H342" s="10"/>
      <c r="I342" s="4"/>
    </row>
    <row r="343" spans="3:9" ht="15">
      <c r="C343" s="5"/>
      <c r="G343" s="9"/>
      <c r="H343" s="10"/>
      <c r="I343" s="4"/>
    </row>
    <row r="344" spans="3:9" ht="15">
      <c r="C344" s="5"/>
      <c r="G344" s="9"/>
      <c r="H344" s="10"/>
      <c r="I344" s="4"/>
    </row>
    <row r="345" spans="3:9" ht="15">
      <c r="C345" s="5"/>
      <c r="G345" s="9"/>
      <c r="H345" s="10"/>
      <c r="I345" s="4"/>
    </row>
    <row r="346" spans="3:9" ht="15">
      <c r="C346" s="5"/>
      <c r="G346" s="9"/>
      <c r="H346" s="10"/>
      <c r="I346" s="4"/>
    </row>
    <row r="347" spans="3:9" ht="15">
      <c r="C347" s="5"/>
      <c r="G347" s="9"/>
      <c r="H347" s="10"/>
      <c r="I347" s="4"/>
    </row>
    <row r="348" spans="3:9" ht="15">
      <c r="C348" s="5"/>
      <c r="G348" s="9"/>
      <c r="H348" s="10"/>
      <c r="I348" s="4"/>
    </row>
    <row r="349" spans="3:9" ht="15">
      <c r="C349" s="5"/>
      <c r="G349" s="9"/>
      <c r="H349" s="10"/>
      <c r="I349" s="4"/>
    </row>
    <row r="350" spans="3:9" ht="15">
      <c r="C350" s="5"/>
      <c r="G350" s="9"/>
      <c r="H350" s="10"/>
      <c r="I350" s="4"/>
    </row>
    <row r="351" spans="3:9" ht="15">
      <c r="C351" s="5"/>
      <c r="G351" s="9"/>
      <c r="H351" s="10"/>
      <c r="I351" s="4"/>
    </row>
    <row r="352" spans="3:9" ht="15">
      <c r="C352" s="5"/>
      <c r="G352" s="9"/>
      <c r="H352" s="10"/>
      <c r="I352" s="4"/>
    </row>
    <row r="353" spans="3:9" ht="15">
      <c r="C353" s="5"/>
      <c r="G353" s="9"/>
      <c r="H353" s="10"/>
      <c r="I353" s="4"/>
    </row>
    <row r="354" spans="3:9" ht="15">
      <c r="C354" s="5"/>
      <c r="G354" s="9"/>
      <c r="H354" s="10"/>
      <c r="I354" s="4"/>
    </row>
    <row r="355" spans="3:9" ht="15">
      <c r="C355" s="5"/>
      <c r="G355" s="9"/>
      <c r="H355" s="10"/>
      <c r="I355" s="4"/>
    </row>
    <row r="356" spans="3:9" ht="15">
      <c r="C356" s="5"/>
      <c r="G356" s="9"/>
      <c r="H356" s="10"/>
      <c r="I356" s="4"/>
    </row>
    <row r="357" spans="3:9" ht="15">
      <c r="C357" s="5"/>
      <c r="G357" s="9"/>
      <c r="H357" s="10"/>
      <c r="I357" s="4"/>
    </row>
    <row r="358" spans="3:9" ht="15">
      <c r="C358" s="5"/>
      <c r="G358" s="9"/>
      <c r="H358" s="10"/>
      <c r="I358" s="4"/>
    </row>
    <row r="359" spans="3:9" ht="15">
      <c r="C359" s="5"/>
      <c r="G359" s="9"/>
      <c r="H359" s="10"/>
      <c r="I359" s="4"/>
    </row>
    <row r="360" spans="3:9" ht="15">
      <c r="C360" s="5"/>
      <c r="G360" s="9"/>
      <c r="H360" s="10"/>
      <c r="I360" s="4"/>
    </row>
    <row r="361" spans="3:9" ht="15">
      <c r="C361" s="5"/>
      <c r="G361" s="9"/>
      <c r="H361" s="10"/>
      <c r="I361" s="4"/>
    </row>
    <row r="362" spans="3:9" ht="15">
      <c r="C362" s="5"/>
      <c r="G362" s="9"/>
      <c r="H362" s="10"/>
      <c r="I362" s="4"/>
    </row>
    <row r="363" spans="3:9" ht="15">
      <c r="C363" s="5"/>
      <c r="G363" s="9"/>
      <c r="H363" s="10"/>
      <c r="I363" s="4"/>
    </row>
    <row r="364" spans="3:9" ht="15">
      <c r="C364" s="5"/>
      <c r="G364" s="9"/>
      <c r="H364" s="10"/>
      <c r="I364" s="4"/>
    </row>
    <row r="365" spans="3:9" ht="15">
      <c r="C365" s="5"/>
      <c r="G365" s="9"/>
      <c r="H365" s="10"/>
      <c r="I365" s="4" t="s">
        <v>7</v>
      </c>
    </row>
    <row r="366" spans="3:9" ht="15">
      <c r="C366" s="5"/>
      <c r="G366" s="9"/>
      <c r="H366" s="10"/>
      <c r="I366" s="4" t="s">
        <v>7</v>
      </c>
    </row>
    <row r="367" spans="3:9" ht="15">
      <c r="C367" s="5"/>
      <c r="G367" s="9"/>
      <c r="H367" s="10"/>
      <c r="I367" s="4" t="s">
        <v>7</v>
      </c>
    </row>
    <row r="368" spans="3:9" ht="15">
      <c r="C368" s="5"/>
      <c r="G368" s="9"/>
      <c r="H368" s="10"/>
      <c r="I368" s="4" t="s">
        <v>7</v>
      </c>
    </row>
    <row r="369" spans="3:9" ht="15">
      <c r="C369" s="5"/>
      <c r="G369" s="9"/>
      <c r="H369" s="10"/>
      <c r="I369" s="4" t="s">
        <v>7</v>
      </c>
    </row>
    <row r="370" spans="3:9" ht="15">
      <c r="C370" s="5"/>
      <c r="G370" s="9"/>
      <c r="H370" s="10"/>
      <c r="I370" s="4" t="s">
        <v>7</v>
      </c>
    </row>
    <row r="371" spans="3:9" ht="15">
      <c r="C371" s="5"/>
      <c r="G371" s="9"/>
      <c r="H371" s="10"/>
      <c r="I371" s="4" t="s">
        <v>7</v>
      </c>
    </row>
    <row r="372" spans="3:9" ht="15">
      <c r="C372" s="5"/>
      <c r="G372" s="9"/>
      <c r="H372" s="10"/>
      <c r="I372" s="4" t="s">
        <v>7</v>
      </c>
    </row>
    <row r="373" spans="3:9" ht="15">
      <c r="C373" s="5"/>
      <c r="G373" s="9"/>
      <c r="H373" s="10"/>
      <c r="I373" s="4" t="s">
        <v>7</v>
      </c>
    </row>
    <row r="374" spans="3:9" ht="15">
      <c r="C374" s="5"/>
      <c r="G374" s="9"/>
      <c r="H374" s="10"/>
      <c r="I374" s="4" t="s">
        <v>7</v>
      </c>
    </row>
    <row r="375" spans="3:9" ht="15">
      <c r="C375" s="5"/>
      <c r="G375" s="9"/>
      <c r="H375" s="10"/>
      <c r="I375" s="4" t="s">
        <v>7</v>
      </c>
    </row>
    <row r="376" spans="3:9" ht="15">
      <c r="C376" s="5"/>
      <c r="G376" s="9"/>
      <c r="H376" s="10"/>
      <c r="I376" s="4" t="s">
        <v>7</v>
      </c>
    </row>
    <row r="377" spans="3:9" ht="15">
      <c r="C377" s="5"/>
      <c r="G377" s="9"/>
      <c r="H377" s="10"/>
      <c r="I377" s="4" t="s">
        <v>7</v>
      </c>
    </row>
    <row r="378" spans="3:9" ht="15">
      <c r="C378" s="5"/>
      <c r="G378" s="9"/>
      <c r="H378" s="10"/>
      <c r="I378" s="4" t="s">
        <v>7</v>
      </c>
    </row>
    <row r="379" spans="3:9" ht="15">
      <c r="C379" s="5"/>
      <c r="G379" s="9"/>
      <c r="H379" s="10"/>
      <c r="I379" s="4" t="s">
        <v>7</v>
      </c>
    </row>
    <row r="380" spans="3:9" ht="15">
      <c r="C380" s="5"/>
      <c r="G380" s="9"/>
      <c r="H380" s="10"/>
      <c r="I380" s="4" t="s">
        <v>7</v>
      </c>
    </row>
    <row r="381" spans="3:9" ht="15">
      <c r="C381" s="5"/>
      <c r="G381" s="9"/>
      <c r="H381" s="10"/>
      <c r="I381" s="4" t="s">
        <v>7</v>
      </c>
    </row>
    <row r="382" spans="3:9" ht="15">
      <c r="C382" s="5"/>
      <c r="G382" s="9"/>
      <c r="H382" s="10"/>
    </row>
    <row r="383" spans="3:9" ht="15">
      <c r="C383" s="5"/>
      <c r="G383" s="9"/>
      <c r="H383" s="10"/>
    </row>
    <row r="384" spans="3:9" ht="15">
      <c r="C384" s="5"/>
      <c r="G384" s="9"/>
      <c r="H384" s="10"/>
    </row>
    <row r="385" spans="3:9" ht="15">
      <c r="C385" s="5"/>
      <c r="G385" s="9"/>
      <c r="H385" s="10"/>
    </row>
    <row r="386" spans="3:9" ht="15">
      <c r="C386" s="5"/>
      <c r="G386" s="9"/>
      <c r="H386" s="10"/>
      <c r="I386" s="4" t="s">
        <v>7</v>
      </c>
    </row>
    <row r="387" spans="3:9" ht="15">
      <c r="C387" s="5"/>
      <c r="G387" s="9"/>
      <c r="H387" s="10"/>
      <c r="I387" s="4" t="s">
        <v>7</v>
      </c>
    </row>
    <row r="388" spans="3:9" ht="15">
      <c r="C388" s="5"/>
      <c r="G388" s="9"/>
      <c r="H388" s="10"/>
      <c r="I388" s="4" t="s">
        <v>7</v>
      </c>
    </row>
    <row r="389" spans="3:9" ht="15">
      <c r="C389" s="5"/>
      <c r="G389" s="9"/>
      <c r="H389" s="10"/>
      <c r="I389" s="4" t="s">
        <v>7</v>
      </c>
    </row>
    <row r="390" spans="3:9" ht="15">
      <c r="C390" s="5"/>
      <c r="G390" s="9"/>
      <c r="H390" s="10"/>
    </row>
    <row r="391" spans="3:9" ht="15">
      <c r="C391" s="5"/>
      <c r="G391" s="9"/>
      <c r="H391" s="10"/>
    </row>
    <row r="392" spans="3:9" ht="15">
      <c r="C392" s="5"/>
      <c r="G392" s="9"/>
      <c r="H392" s="10"/>
    </row>
    <row r="393" spans="3:9" ht="15">
      <c r="C393" s="5"/>
      <c r="G393" s="9"/>
      <c r="H393" s="10"/>
      <c r="I393" s="4" t="s">
        <v>7</v>
      </c>
    </row>
    <row r="394" spans="3:9" ht="15">
      <c r="C394" s="5"/>
      <c r="G394" s="9"/>
      <c r="H394" s="10"/>
      <c r="I394" s="4" t="s">
        <v>7</v>
      </c>
    </row>
    <row r="395" spans="3:9" ht="15">
      <c r="C395" s="5"/>
      <c r="G395" s="9"/>
      <c r="H395" s="10"/>
      <c r="I395" s="4" t="s">
        <v>7</v>
      </c>
    </row>
    <row r="396" spans="3:9" ht="15">
      <c r="C396" s="5"/>
      <c r="G396" s="9"/>
      <c r="H396" s="10"/>
      <c r="I396" s="4" t="s">
        <v>7</v>
      </c>
    </row>
    <row r="397" spans="3:9" ht="15">
      <c r="C397" s="5"/>
      <c r="G397" s="9"/>
      <c r="H397" s="10"/>
      <c r="I397" s="4" t="s">
        <v>7</v>
      </c>
    </row>
    <row r="398" spans="3:9" ht="15">
      <c r="C398" s="5"/>
      <c r="G398" s="9"/>
      <c r="H398" s="10"/>
      <c r="I398" s="4" t="s">
        <v>7</v>
      </c>
    </row>
    <row r="399" spans="3:9" ht="15">
      <c r="C399" s="5"/>
      <c r="G399" s="9"/>
      <c r="H399" s="10"/>
      <c r="I399" s="4" t="s">
        <v>7</v>
      </c>
    </row>
    <row r="400" spans="3:9" ht="15">
      <c r="C400" s="5"/>
      <c r="G400" s="9"/>
      <c r="H400" s="10"/>
      <c r="I400" s="4" t="s">
        <v>7</v>
      </c>
    </row>
    <row r="401" spans="3:9" ht="15">
      <c r="C401" s="5"/>
      <c r="G401" s="9"/>
      <c r="H401" s="10"/>
      <c r="I401" s="4" t="s">
        <v>7</v>
      </c>
    </row>
    <row r="402" spans="3:9" ht="15">
      <c r="C402" s="5"/>
      <c r="G402" s="9"/>
      <c r="H402" s="10"/>
    </row>
    <row r="403" spans="3:9" ht="15">
      <c r="C403" s="5"/>
      <c r="G403" s="9"/>
      <c r="H403" s="10"/>
    </row>
    <row r="404" spans="3:9" ht="15">
      <c r="C404" s="5"/>
      <c r="G404" s="9"/>
      <c r="H404" s="10"/>
    </row>
    <row r="405" spans="3:9" ht="15">
      <c r="C405" s="5"/>
      <c r="G405" s="9"/>
      <c r="H405" s="10"/>
    </row>
    <row r="406" spans="3:9" ht="15">
      <c r="C406" s="5"/>
      <c r="G406" s="9"/>
      <c r="H406" s="10"/>
      <c r="I406" s="4"/>
    </row>
    <row r="407" spans="3:9" ht="15">
      <c r="C407" s="5"/>
      <c r="G407" s="9"/>
      <c r="H407" s="10"/>
      <c r="I407" s="4"/>
    </row>
    <row r="408" spans="3:9" ht="15">
      <c r="C408" s="5"/>
      <c r="G408" s="9"/>
      <c r="H408" s="10"/>
      <c r="I408" s="4"/>
    </row>
    <row r="409" spans="3:9" ht="15">
      <c r="C409" s="5"/>
      <c r="G409" s="9"/>
      <c r="H409" s="10"/>
      <c r="I409" s="4"/>
    </row>
    <row r="410" spans="3:9" ht="15">
      <c r="C410" s="5"/>
      <c r="G410" s="9"/>
      <c r="H410" s="10"/>
      <c r="I410" s="4"/>
    </row>
    <row r="411" spans="3:9" ht="15">
      <c r="C411" s="5"/>
      <c r="G411" s="9"/>
      <c r="H411" s="10"/>
      <c r="I411" s="4"/>
    </row>
    <row r="412" spans="3:9" ht="15">
      <c r="C412" s="5"/>
      <c r="G412" s="9"/>
      <c r="H412" s="10"/>
      <c r="I412" s="4"/>
    </row>
    <row r="413" spans="3:9" ht="15">
      <c r="C413" s="5"/>
      <c r="G413" s="9"/>
      <c r="H413" s="10"/>
      <c r="I413" s="4"/>
    </row>
    <row r="414" spans="3:9" ht="15">
      <c r="C414" s="5"/>
      <c r="G414" s="9"/>
      <c r="H414" s="10"/>
      <c r="I414" s="4"/>
    </row>
    <row r="415" spans="3:9" ht="15">
      <c r="C415" s="5"/>
      <c r="G415" s="9"/>
      <c r="H415" s="10"/>
      <c r="I415" s="4"/>
    </row>
    <row r="416" spans="3:9" ht="15">
      <c r="C416" s="5"/>
      <c r="G416" s="9"/>
      <c r="H416" s="10"/>
    </row>
    <row r="417" spans="3:9" ht="15">
      <c r="C417" s="5"/>
      <c r="G417" s="9"/>
      <c r="H417" s="10"/>
    </row>
    <row r="418" spans="3:9" ht="15">
      <c r="C418" s="5"/>
      <c r="G418" s="9"/>
      <c r="H418" s="10"/>
    </row>
    <row r="419" spans="3:9" ht="15">
      <c r="C419" s="5"/>
      <c r="G419" s="9"/>
      <c r="H419" s="10"/>
      <c r="I419" s="4" t="s">
        <v>7</v>
      </c>
    </row>
    <row r="420" spans="3:9" ht="15">
      <c r="C420" s="5"/>
      <c r="G420" s="9"/>
      <c r="H420" s="10"/>
      <c r="I420" s="4" t="s">
        <v>7</v>
      </c>
    </row>
    <row r="421" spans="3:9" ht="15">
      <c r="C421" s="5"/>
      <c r="G421" s="9"/>
      <c r="H421" s="10"/>
      <c r="I421" s="4" t="s">
        <v>7</v>
      </c>
    </row>
    <row r="422" spans="3:9" ht="15">
      <c r="C422" s="5"/>
      <c r="G422" s="9"/>
      <c r="H422" s="10"/>
      <c r="I422" s="4" t="s">
        <v>7</v>
      </c>
    </row>
    <row r="423" spans="3:9" ht="15">
      <c r="C423" s="5"/>
      <c r="G423" s="9"/>
      <c r="H423" s="10"/>
      <c r="I423" s="4" t="s">
        <v>7</v>
      </c>
    </row>
    <row r="424" spans="3:9" ht="15">
      <c r="C424" s="5"/>
      <c r="G424" s="9"/>
      <c r="H424" s="10"/>
      <c r="I424" s="4" t="s">
        <v>7</v>
      </c>
    </row>
    <row r="425" spans="3:9" ht="15">
      <c r="C425" s="5"/>
      <c r="G425" s="9"/>
      <c r="H425" s="10"/>
      <c r="I425" s="4" t="s">
        <v>7</v>
      </c>
    </row>
    <row r="426" spans="3:9" ht="15">
      <c r="C426" s="5"/>
      <c r="G426" s="9"/>
      <c r="H426" s="10"/>
      <c r="I426" s="4" t="s">
        <v>7</v>
      </c>
    </row>
    <row r="427" spans="3:9" ht="15">
      <c r="C427" s="5"/>
      <c r="G427" s="9"/>
      <c r="H427" s="10"/>
      <c r="I427" s="4" t="s">
        <v>7</v>
      </c>
    </row>
    <row r="428" spans="3:9" ht="15">
      <c r="C428" s="5"/>
      <c r="G428" s="9"/>
      <c r="H428" s="10"/>
      <c r="I428" s="4" t="s">
        <v>7</v>
      </c>
    </row>
    <row r="429" spans="3:9" ht="15">
      <c r="C429" s="5"/>
      <c r="G429" s="9"/>
      <c r="H429" s="10"/>
      <c r="I429" s="4" t="s">
        <v>7</v>
      </c>
    </row>
    <row r="430" spans="3:9" ht="15">
      <c r="C430" s="5"/>
      <c r="G430" s="9"/>
      <c r="H430" s="10"/>
      <c r="I430" s="4" t="s">
        <v>7</v>
      </c>
    </row>
    <row r="431" spans="3:9" ht="15">
      <c r="C431" s="5"/>
      <c r="G431" s="9"/>
      <c r="H431" s="10"/>
      <c r="I431" s="4" t="s">
        <v>7</v>
      </c>
    </row>
    <row r="432" spans="3:9" ht="15">
      <c r="C432" s="5"/>
      <c r="G432" s="9"/>
      <c r="H432" s="10"/>
      <c r="I432" s="4" t="s">
        <v>7</v>
      </c>
    </row>
    <row r="433" spans="3:9" ht="15">
      <c r="C433" s="5"/>
      <c r="G433" s="9"/>
      <c r="H433" s="10"/>
      <c r="I433" s="4" t="s">
        <v>7</v>
      </c>
    </row>
    <row r="434" spans="3:9" ht="15">
      <c r="C434" s="5"/>
      <c r="G434" s="9"/>
      <c r="H434" s="10"/>
      <c r="I434" s="4" t="s">
        <v>7</v>
      </c>
    </row>
    <row r="435" spans="3:9" ht="15">
      <c r="C435" s="5"/>
      <c r="G435" s="9"/>
      <c r="H435" s="10"/>
      <c r="I435" s="4" t="s">
        <v>7</v>
      </c>
    </row>
    <row r="436" spans="3:9" ht="15">
      <c r="C436" s="5"/>
      <c r="G436" s="9"/>
      <c r="H436" s="10"/>
      <c r="I436" s="4" t="s">
        <v>7</v>
      </c>
    </row>
    <row r="437" spans="3:9" ht="15">
      <c r="C437" s="5"/>
      <c r="G437" s="9"/>
      <c r="H437" s="10"/>
      <c r="I437" s="4" t="s">
        <v>7</v>
      </c>
    </row>
    <row r="438" spans="3:9" ht="15">
      <c r="C438" s="5"/>
      <c r="G438" s="9"/>
      <c r="H438" s="10"/>
      <c r="I438" s="4" t="s">
        <v>7</v>
      </c>
    </row>
    <row r="439" spans="3:9" ht="15">
      <c r="C439" s="5"/>
      <c r="G439" s="9"/>
      <c r="H439" s="10"/>
      <c r="I439" s="4" t="s">
        <v>7</v>
      </c>
    </row>
    <row r="440" spans="3:9" ht="15">
      <c r="C440" s="5"/>
      <c r="G440" s="9"/>
      <c r="H440" s="10"/>
      <c r="I440" s="4" t="s">
        <v>7</v>
      </c>
    </row>
    <row r="441" spans="3:9" ht="15">
      <c r="C441" s="5"/>
      <c r="G441" s="9"/>
      <c r="H441" s="10"/>
      <c r="I441" s="4" t="s">
        <v>7</v>
      </c>
    </row>
    <row r="442" spans="3:9" ht="15">
      <c r="C442" s="5"/>
      <c r="G442" s="9"/>
      <c r="H442" s="10"/>
      <c r="I442" s="4" t="s">
        <v>7</v>
      </c>
    </row>
    <row r="443" spans="3:9" ht="15">
      <c r="C443" s="5"/>
      <c r="G443" s="9"/>
      <c r="H443" s="10"/>
      <c r="I443" s="4" t="s">
        <v>7</v>
      </c>
    </row>
    <row r="444" spans="3:9" ht="15">
      <c r="C444" s="5"/>
      <c r="G444" s="9"/>
      <c r="H444" s="10"/>
      <c r="I444" s="4" t="s">
        <v>7</v>
      </c>
    </row>
    <row r="445" spans="3:9" ht="15">
      <c r="C445" s="5"/>
      <c r="G445" s="9"/>
      <c r="H445" s="10"/>
      <c r="I445" s="4" t="s">
        <v>7</v>
      </c>
    </row>
    <row r="446" spans="3:9" ht="15">
      <c r="C446" s="5"/>
      <c r="G446" s="9"/>
      <c r="H446" s="10"/>
      <c r="I446" s="4" t="s">
        <v>7</v>
      </c>
    </row>
    <row r="447" spans="3:9" ht="15">
      <c r="C447" s="5"/>
      <c r="G447" s="9"/>
      <c r="H447" s="10"/>
      <c r="I447" s="4" t="s">
        <v>7</v>
      </c>
    </row>
    <row r="448" spans="3:9" ht="15">
      <c r="C448" s="5"/>
      <c r="G448" s="9"/>
      <c r="H448" s="10"/>
      <c r="I448" s="4" t="s">
        <v>7</v>
      </c>
    </row>
    <row r="449" spans="3:9" ht="15">
      <c r="C449" s="5"/>
      <c r="G449" s="9"/>
      <c r="H449" s="10"/>
      <c r="I449" s="4" t="s">
        <v>7</v>
      </c>
    </row>
    <row r="450" spans="3:9" ht="15">
      <c r="C450" s="5"/>
      <c r="G450" s="9"/>
      <c r="H450" s="10"/>
      <c r="I450" s="4" t="s">
        <v>7</v>
      </c>
    </row>
    <row r="451" spans="3:9" ht="15">
      <c r="C451" s="5"/>
      <c r="G451" s="9"/>
      <c r="H451" s="10"/>
    </row>
    <row r="452" spans="3:9" ht="15">
      <c r="C452" s="5"/>
      <c r="G452" s="9"/>
      <c r="H452" s="10"/>
    </row>
    <row r="453" spans="3:9" ht="15">
      <c r="C453" s="5"/>
      <c r="G453" s="9"/>
      <c r="H453" s="10"/>
    </row>
    <row r="454" spans="3:9" ht="15">
      <c r="C454" s="5"/>
      <c r="G454" s="9"/>
      <c r="H454" s="10"/>
    </row>
    <row r="455" spans="3:9" ht="15">
      <c r="C455" s="5"/>
      <c r="G455" s="9"/>
      <c r="H455" s="10"/>
      <c r="I455" s="4" t="s">
        <v>7</v>
      </c>
    </row>
    <row r="456" spans="3:9" ht="15">
      <c r="C456" s="5"/>
      <c r="G456" s="9"/>
      <c r="H456" s="10"/>
      <c r="I456" s="4" t="s">
        <v>7</v>
      </c>
    </row>
    <row r="457" spans="3:9" ht="15">
      <c r="C457" s="5"/>
      <c r="G457" s="9"/>
      <c r="H457" s="10"/>
      <c r="I457" s="4" t="s">
        <v>7</v>
      </c>
    </row>
    <row r="458" spans="3:9" ht="15">
      <c r="C458" s="5"/>
      <c r="G458" s="9"/>
      <c r="H458" s="10"/>
      <c r="I458" s="4" t="s">
        <v>7</v>
      </c>
    </row>
    <row r="459" spans="3:9" ht="15">
      <c r="C459" s="5"/>
      <c r="G459" s="9"/>
      <c r="H459" s="10"/>
      <c r="I459" s="4" t="s">
        <v>7</v>
      </c>
    </row>
    <row r="460" spans="3:9" ht="15">
      <c r="C460" s="5"/>
      <c r="G460" s="9"/>
      <c r="H460" s="10"/>
      <c r="I460" s="4" t="s">
        <v>7</v>
      </c>
    </row>
    <row r="461" spans="3:9" ht="15">
      <c r="C461" s="5"/>
      <c r="G461" s="9"/>
      <c r="H461" s="10"/>
      <c r="I461" s="4" t="s">
        <v>7</v>
      </c>
    </row>
    <row r="462" spans="3:9" ht="15">
      <c r="C462" s="5"/>
      <c r="G462" s="9"/>
      <c r="H462" s="10"/>
      <c r="I462" s="4" t="s">
        <v>7</v>
      </c>
    </row>
    <row r="463" spans="3:9" ht="15">
      <c r="C463" s="5"/>
      <c r="G463" s="9"/>
      <c r="H463" s="10"/>
      <c r="I463" s="4" t="s">
        <v>7</v>
      </c>
    </row>
    <row r="464" spans="3:9" ht="15">
      <c r="C464" s="5"/>
      <c r="G464" s="9"/>
      <c r="H464" s="10"/>
      <c r="I464" s="4" t="s">
        <v>7</v>
      </c>
    </row>
    <row r="465" spans="3:9" ht="15">
      <c r="C465" s="5"/>
      <c r="G465" s="9"/>
      <c r="H465" s="10"/>
      <c r="I465" s="4" t="s">
        <v>7</v>
      </c>
    </row>
    <row r="466" spans="3:9" ht="15">
      <c r="C466" s="5"/>
      <c r="G466" s="9"/>
      <c r="H466" s="10"/>
      <c r="I466" s="4" t="s">
        <v>7</v>
      </c>
    </row>
    <row r="467" spans="3:9" ht="15">
      <c r="C467" s="5"/>
      <c r="G467" s="9"/>
      <c r="H467" s="10"/>
      <c r="I467" s="4" t="s">
        <v>7</v>
      </c>
    </row>
    <row r="468" spans="3:9" ht="15">
      <c r="C468" s="5"/>
      <c r="G468" s="9"/>
      <c r="H468" s="10"/>
      <c r="I468" s="4" t="s">
        <v>7</v>
      </c>
    </row>
    <row r="469" spans="3:9" ht="15">
      <c r="C469" s="5"/>
      <c r="G469" s="9"/>
      <c r="H469" s="10"/>
      <c r="I469" s="4" t="s">
        <v>7</v>
      </c>
    </row>
    <row r="470" spans="3:9" ht="15">
      <c r="C470" s="5"/>
      <c r="G470" s="9"/>
      <c r="H470" s="10"/>
      <c r="I470" s="4" t="s">
        <v>7</v>
      </c>
    </row>
    <row r="471" spans="3:9" ht="15">
      <c r="C471" s="5"/>
      <c r="G471" s="9"/>
      <c r="H471" s="10"/>
      <c r="I471" s="4" t="s">
        <v>7</v>
      </c>
    </row>
    <row r="472" spans="3:9" ht="15">
      <c r="C472" s="5"/>
      <c r="G472" s="9"/>
      <c r="H472" s="10"/>
      <c r="I472" s="4" t="s">
        <v>7</v>
      </c>
    </row>
    <row r="473" spans="3:9" ht="15">
      <c r="C473" s="5"/>
      <c r="G473" s="9"/>
      <c r="H473" s="10"/>
      <c r="I473" s="4" t="s">
        <v>7</v>
      </c>
    </row>
    <row r="474" spans="3:9" ht="15">
      <c r="C474" s="5"/>
      <c r="G474" s="9"/>
      <c r="H474" s="10"/>
      <c r="I474" s="4" t="s">
        <v>7</v>
      </c>
    </row>
    <row r="475" spans="3:9" ht="15">
      <c r="C475" s="5"/>
      <c r="G475" s="9"/>
      <c r="H475" s="10"/>
      <c r="I475" s="4" t="s">
        <v>7</v>
      </c>
    </row>
    <row r="476" spans="3:9" ht="15">
      <c r="C476" s="5"/>
      <c r="G476" s="9"/>
      <c r="H476" s="10"/>
      <c r="I476" s="4" t="s">
        <v>7</v>
      </c>
    </row>
    <row r="477" spans="3:9" ht="15">
      <c r="C477" s="5"/>
      <c r="G477" s="9"/>
      <c r="H477" s="10"/>
      <c r="I477" s="4" t="s">
        <v>7</v>
      </c>
    </row>
    <row r="478" spans="3:9" ht="15">
      <c r="C478" s="5"/>
      <c r="G478" s="9"/>
      <c r="H478" s="10"/>
      <c r="I478" s="4" t="s">
        <v>7</v>
      </c>
    </row>
    <row r="479" spans="3:9" ht="15">
      <c r="C479" s="5"/>
      <c r="G479" s="9"/>
      <c r="H479" s="10"/>
      <c r="I479" s="4" t="s">
        <v>7</v>
      </c>
    </row>
    <row r="480" spans="3:9" ht="15">
      <c r="C480" s="5"/>
      <c r="G480" s="9"/>
      <c r="H480" s="10"/>
      <c r="I480" s="4" t="s">
        <v>7</v>
      </c>
    </row>
    <row r="481" spans="3:9" ht="15">
      <c r="C481" s="5"/>
      <c r="G481" s="9"/>
      <c r="H481" s="10"/>
      <c r="I481" s="4" t="s">
        <v>7</v>
      </c>
    </row>
    <row r="482" spans="3:9" ht="15">
      <c r="C482" s="5"/>
      <c r="G482" s="9"/>
      <c r="H482" s="10"/>
      <c r="I482" s="4" t="s">
        <v>7</v>
      </c>
    </row>
    <row r="483" spans="3:9" ht="15">
      <c r="C483" s="5"/>
      <c r="G483" s="9"/>
      <c r="H483" s="10"/>
      <c r="I483" s="4" t="s">
        <v>7</v>
      </c>
    </row>
    <row r="484" spans="3:9" ht="15">
      <c r="C484" s="5"/>
      <c r="G484" s="9"/>
      <c r="H484" s="10"/>
      <c r="I484" s="4" t="s">
        <v>7</v>
      </c>
    </row>
    <row r="485" spans="3:9" ht="15">
      <c r="C485" s="5"/>
      <c r="G485" s="9"/>
      <c r="H485" s="10"/>
      <c r="I485" s="4" t="s">
        <v>7</v>
      </c>
    </row>
    <row r="486" spans="3:9" ht="15">
      <c r="C486" s="5"/>
      <c r="G486" s="9"/>
      <c r="H486" s="10"/>
    </row>
    <row r="487" spans="3:9" ht="15">
      <c r="C487" s="5"/>
      <c r="G487" s="9"/>
      <c r="H487" s="10"/>
    </row>
    <row r="488" spans="3:9" ht="15">
      <c r="C488" s="5"/>
      <c r="G488" s="9"/>
      <c r="H488" s="10"/>
    </row>
    <row r="489" spans="3:9" ht="15">
      <c r="C489" s="5"/>
      <c r="G489" s="9"/>
      <c r="H489" s="10"/>
    </row>
    <row r="490" spans="3:9" ht="15">
      <c r="C490" s="5"/>
      <c r="G490" s="9"/>
      <c r="H490" s="10"/>
      <c r="I490" t="s">
        <v>7</v>
      </c>
    </row>
    <row r="491" spans="3:9" ht="15">
      <c r="C491" s="5"/>
      <c r="G491" s="9"/>
      <c r="H491" s="10"/>
      <c r="I491" t="s">
        <v>7</v>
      </c>
    </row>
    <row r="492" spans="3:9" ht="15">
      <c r="C492" s="5"/>
      <c r="G492" s="9"/>
      <c r="H492" s="10"/>
      <c r="I492" t="s">
        <v>7</v>
      </c>
    </row>
    <row r="493" spans="3:9" ht="15">
      <c r="C493" s="5"/>
      <c r="G493" s="9"/>
      <c r="H493" s="10"/>
      <c r="I493" t="s">
        <v>7</v>
      </c>
    </row>
    <row r="494" spans="3:9" ht="15">
      <c r="C494" s="5"/>
      <c r="G494" s="9"/>
      <c r="H494" s="10"/>
      <c r="I494" t="s">
        <v>7</v>
      </c>
    </row>
    <row r="495" spans="3:9" ht="15">
      <c r="C495" s="5"/>
      <c r="G495" s="9"/>
      <c r="H495" s="10"/>
      <c r="I495" t="s">
        <v>7</v>
      </c>
    </row>
    <row r="496" spans="3:9" ht="15">
      <c r="C496" s="5"/>
      <c r="G496" s="9"/>
      <c r="H496" s="10"/>
      <c r="I496" t="s">
        <v>7</v>
      </c>
    </row>
    <row r="497" spans="3:9" ht="15">
      <c r="C497" s="5"/>
      <c r="G497" s="9"/>
      <c r="H497" s="10"/>
      <c r="I497" t="s">
        <v>7</v>
      </c>
    </row>
    <row r="498" spans="3:9" ht="15">
      <c r="C498" s="5"/>
      <c r="G498" s="9"/>
      <c r="H498" s="10"/>
      <c r="I498" t="s">
        <v>7</v>
      </c>
    </row>
    <row r="499" spans="3:9" ht="15">
      <c r="C499" s="5"/>
      <c r="G499" s="9"/>
      <c r="H499" s="10"/>
      <c r="I499" t="s">
        <v>7</v>
      </c>
    </row>
    <row r="500" spans="3:9" ht="15">
      <c r="C500" s="5"/>
      <c r="G500" s="9"/>
      <c r="H500" s="10"/>
      <c r="I500" t="s">
        <v>7</v>
      </c>
    </row>
    <row r="501" spans="3:9" ht="15">
      <c r="C501" s="5"/>
      <c r="G501" s="9"/>
      <c r="H501" s="10"/>
      <c r="I501" t="s">
        <v>7</v>
      </c>
    </row>
    <row r="502" spans="3:9" ht="15">
      <c r="C502" s="5"/>
      <c r="G502" s="9"/>
      <c r="H502" s="10"/>
      <c r="I502" t="s">
        <v>7</v>
      </c>
    </row>
    <row r="503" spans="3:9" ht="15">
      <c r="C503" s="5"/>
      <c r="G503" s="9"/>
      <c r="H503" s="10"/>
      <c r="I503" t="s">
        <v>7</v>
      </c>
    </row>
    <row r="504" spans="3:9" ht="15">
      <c r="C504" s="5"/>
      <c r="G504" s="9"/>
      <c r="H504" s="10"/>
      <c r="I504" t="s">
        <v>7</v>
      </c>
    </row>
    <row r="505" spans="3:9" ht="15">
      <c r="C505" s="5"/>
      <c r="G505" s="9"/>
      <c r="H505" s="10"/>
      <c r="I505" t="s">
        <v>7</v>
      </c>
    </row>
    <row r="506" spans="3:9" ht="15">
      <c r="C506" s="5"/>
      <c r="G506" s="9"/>
      <c r="H506" s="10"/>
      <c r="I506" t="s">
        <v>7</v>
      </c>
    </row>
    <row r="507" spans="3:9" ht="15">
      <c r="C507" s="5"/>
      <c r="G507" s="9"/>
      <c r="H507" s="10"/>
      <c r="I507" t="s">
        <v>7</v>
      </c>
    </row>
    <row r="508" spans="3:9" ht="15">
      <c r="C508" s="5"/>
      <c r="G508" s="9"/>
      <c r="H508" s="10"/>
      <c r="I508" t="s">
        <v>7</v>
      </c>
    </row>
    <row r="509" spans="3:9" ht="15">
      <c r="C509" s="5"/>
      <c r="G509" s="9"/>
      <c r="H509" s="10"/>
      <c r="I509" t="s">
        <v>7</v>
      </c>
    </row>
    <row r="510" spans="3:9" ht="15">
      <c r="C510" s="5"/>
      <c r="G510" s="9"/>
      <c r="H510" s="10"/>
      <c r="I510" t="s">
        <v>7</v>
      </c>
    </row>
    <row r="511" spans="3:9" ht="15">
      <c r="C511" s="5"/>
      <c r="G511" s="9"/>
      <c r="H511" s="10"/>
      <c r="I511" t="s">
        <v>7</v>
      </c>
    </row>
    <row r="512" spans="3:9" ht="15">
      <c r="C512" s="5"/>
      <c r="G512" s="9"/>
      <c r="H512" s="10"/>
      <c r="I512" t="s">
        <v>7</v>
      </c>
    </row>
    <row r="513" spans="3:9" ht="15">
      <c r="C513" s="5"/>
      <c r="G513" s="9"/>
      <c r="H513" s="10"/>
      <c r="I513" t="s">
        <v>7</v>
      </c>
    </row>
    <row r="514" spans="3:9" ht="15">
      <c r="C514" s="5"/>
      <c r="G514" s="9"/>
      <c r="H514" s="10"/>
      <c r="I514" t="s">
        <v>7</v>
      </c>
    </row>
    <row r="515" spans="3:9" ht="15">
      <c r="C515" s="5"/>
      <c r="G515" s="9"/>
      <c r="H515" s="10"/>
      <c r="I515" t="s">
        <v>7</v>
      </c>
    </row>
    <row r="516" spans="3:9" ht="15">
      <c r="C516" s="5"/>
      <c r="G516" s="9"/>
      <c r="H516" s="10"/>
      <c r="I516" t="s">
        <v>7</v>
      </c>
    </row>
    <row r="517" spans="3:9" ht="15">
      <c r="C517" s="5"/>
      <c r="G517" s="9"/>
      <c r="H517" s="10"/>
      <c r="I517" t="s">
        <v>7</v>
      </c>
    </row>
    <row r="518" spans="3:9" ht="15">
      <c r="C518" s="5"/>
      <c r="G518" s="9"/>
      <c r="H518" s="10"/>
      <c r="I518" t="s">
        <v>7</v>
      </c>
    </row>
    <row r="519" spans="3:9" ht="15">
      <c r="C519" s="5"/>
      <c r="G519" s="9"/>
      <c r="H519" s="10"/>
      <c r="I519" t="s">
        <v>7</v>
      </c>
    </row>
    <row r="520" spans="3:9" ht="15">
      <c r="C520" s="5"/>
      <c r="G520" s="9"/>
      <c r="H520" s="10"/>
      <c r="I520" t="s">
        <v>7</v>
      </c>
    </row>
    <row r="521" spans="3:9" ht="15">
      <c r="C521" s="5"/>
      <c r="G521" s="9"/>
      <c r="H521" s="10"/>
      <c r="I521" t="s">
        <v>7</v>
      </c>
    </row>
    <row r="522" spans="3:9" ht="15">
      <c r="C522" s="5"/>
      <c r="G522" s="9"/>
      <c r="H522" s="10"/>
      <c r="I522" t="s">
        <v>7</v>
      </c>
    </row>
    <row r="523" spans="3:9" ht="15">
      <c r="C523" s="5"/>
      <c r="G523" s="9"/>
      <c r="H523" s="10"/>
      <c r="I523" t="s">
        <v>7</v>
      </c>
    </row>
    <row r="524" spans="3:9" ht="15">
      <c r="C524" s="5"/>
      <c r="G524" s="9"/>
      <c r="H524" s="10"/>
      <c r="I524" t="s">
        <v>7</v>
      </c>
    </row>
    <row r="525" spans="3:9" ht="15">
      <c r="C525" s="5"/>
      <c r="G525" s="9"/>
      <c r="H525" s="10"/>
      <c r="I525" t="s">
        <v>7</v>
      </c>
    </row>
    <row r="526" spans="3:9" ht="15">
      <c r="C526" s="5"/>
      <c r="G526" s="9"/>
      <c r="H526" s="10"/>
      <c r="I526" t="s">
        <v>7</v>
      </c>
    </row>
    <row r="527" spans="3:9" ht="15">
      <c r="C527" s="5"/>
      <c r="G527" s="9"/>
      <c r="H527" s="10"/>
      <c r="I527" t="s">
        <v>7</v>
      </c>
    </row>
    <row r="528" spans="3:9" ht="15">
      <c r="C528" s="5"/>
      <c r="G528" s="9"/>
      <c r="H528" s="10"/>
    </row>
    <row r="529" spans="3:9" ht="15">
      <c r="C529" s="5"/>
      <c r="G529" s="9"/>
      <c r="H529" s="10"/>
    </row>
    <row r="530" spans="3:9" ht="15">
      <c r="C530" s="5"/>
      <c r="G530" s="9"/>
      <c r="H530" s="10"/>
    </row>
    <row r="531" spans="3:9" ht="15">
      <c r="C531" s="5"/>
      <c r="G531" s="9"/>
      <c r="H531" s="10"/>
    </row>
    <row r="532" spans="3:9" ht="15">
      <c r="C532" s="5"/>
      <c r="G532" s="9"/>
      <c r="H532" s="10"/>
    </row>
    <row r="533" spans="3:9" ht="15">
      <c r="C533" s="5"/>
      <c r="G533" s="9"/>
      <c r="H533" s="10"/>
    </row>
    <row r="534" spans="3:9" ht="15">
      <c r="C534" s="5"/>
      <c r="G534" s="9"/>
      <c r="H534" s="10"/>
    </row>
    <row r="535" spans="3:9" ht="15">
      <c r="C535" s="5"/>
      <c r="G535" s="9"/>
      <c r="H535" s="10"/>
      <c r="I535" s="4" t="s">
        <v>7</v>
      </c>
    </row>
    <row r="536" spans="3:9" ht="15">
      <c r="C536" s="5"/>
      <c r="G536" s="9"/>
      <c r="H536" s="10"/>
      <c r="I536" s="4" t="s">
        <v>7</v>
      </c>
    </row>
    <row r="537" spans="3:9" ht="15">
      <c r="C537" s="5"/>
      <c r="G537" s="9"/>
      <c r="H537" s="10"/>
      <c r="I537" s="4" t="s">
        <v>7</v>
      </c>
    </row>
    <row r="538" spans="3:9" ht="15">
      <c r="C538" s="5"/>
      <c r="G538" s="9"/>
      <c r="H538" s="10"/>
      <c r="I538" s="4" t="s">
        <v>7</v>
      </c>
    </row>
    <row r="539" spans="3:9" ht="15">
      <c r="C539" s="5"/>
      <c r="G539" s="9"/>
      <c r="H539" s="10"/>
      <c r="I539" s="4" t="s">
        <v>7</v>
      </c>
    </row>
    <row r="540" spans="3:9" ht="15">
      <c r="C540" s="5"/>
      <c r="G540" s="9"/>
      <c r="H540" s="10"/>
      <c r="I540" s="4" t="s">
        <v>7</v>
      </c>
    </row>
    <row r="541" spans="3:9" ht="15">
      <c r="C541" s="5"/>
      <c r="G541" s="9"/>
      <c r="H541" s="10"/>
      <c r="I541" s="4" t="s">
        <v>7</v>
      </c>
    </row>
    <row r="542" spans="3:9" ht="15">
      <c r="C542" s="5"/>
      <c r="G542" s="9"/>
      <c r="H542" s="10"/>
      <c r="I542" s="4" t="s">
        <v>7</v>
      </c>
    </row>
    <row r="543" spans="3:9" ht="15">
      <c r="C543" s="5"/>
      <c r="G543" s="9"/>
      <c r="H543" s="10"/>
      <c r="I543" s="4" t="s">
        <v>7</v>
      </c>
    </row>
    <row r="544" spans="3:9" ht="15">
      <c r="C544" s="5"/>
      <c r="G544" s="9"/>
      <c r="H544" s="10"/>
      <c r="I544" s="4" t="s">
        <v>7</v>
      </c>
    </row>
    <row r="545" spans="3:9" ht="15">
      <c r="C545" s="5"/>
      <c r="G545" s="9"/>
      <c r="H545" s="10"/>
      <c r="I545" s="4" t="s">
        <v>7</v>
      </c>
    </row>
    <row r="546" spans="3:9" ht="15">
      <c r="C546" s="5"/>
      <c r="G546" s="9"/>
      <c r="H546" s="10"/>
      <c r="I546" s="4" t="s">
        <v>7</v>
      </c>
    </row>
    <row r="547" spans="3:9" ht="15">
      <c r="C547" s="5"/>
      <c r="G547" s="9"/>
      <c r="H547" s="10"/>
      <c r="I547" s="4" t="s">
        <v>7</v>
      </c>
    </row>
    <row r="548" spans="3:9" ht="15">
      <c r="C548" s="5"/>
      <c r="G548" s="9"/>
      <c r="H548" s="10"/>
    </row>
    <row r="549" spans="3:9" ht="15">
      <c r="C549" s="5"/>
      <c r="G549" s="9"/>
      <c r="H549" s="10"/>
    </row>
    <row r="550" spans="3:9" ht="15">
      <c r="C550" s="5"/>
      <c r="G550" s="9"/>
      <c r="H550" s="10"/>
    </row>
    <row r="551" spans="3:9" ht="15">
      <c r="C551" s="5"/>
      <c r="G551" s="9"/>
      <c r="H551" s="10"/>
    </row>
    <row r="552" spans="3:9" ht="15">
      <c r="C552" s="5"/>
      <c r="G552" s="9"/>
      <c r="H552" s="10"/>
      <c r="I552" s="4" t="s">
        <v>7</v>
      </c>
    </row>
    <row r="553" spans="3:9" ht="15">
      <c r="C553" s="5"/>
      <c r="G553" s="9"/>
      <c r="H553" s="10"/>
      <c r="I553" s="4" t="s">
        <v>7</v>
      </c>
    </row>
    <row r="554" spans="3:9" ht="15">
      <c r="C554" s="5"/>
      <c r="G554" s="9"/>
      <c r="H554" s="10"/>
      <c r="I554" s="4" t="s">
        <v>7</v>
      </c>
    </row>
    <row r="555" spans="3:9" ht="15">
      <c r="C555" s="5"/>
      <c r="G555" s="9"/>
      <c r="H555" s="10"/>
      <c r="I555" s="4" t="s">
        <v>7</v>
      </c>
    </row>
    <row r="556" spans="3:9" ht="15">
      <c r="C556" s="5"/>
      <c r="G556" s="9"/>
      <c r="H556" s="10"/>
      <c r="I556" s="4" t="s">
        <v>7</v>
      </c>
    </row>
    <row r="557" spans="3:9" ht="15">
      <c r="C557" s="5"/>
      <c r="G557" s="9"/>
      <c r="H557" s="10"/>
      <c r="I557" s="4" t="s">
        <v>7</v>
      </c>
    </row>
    <row r="558" spans="3:9" ht="15">
      <c r="C558" s="5"/>
      <c r="G558" s="9"/>
      <c r="H558" s="10"/>
      <c r="I558" s="4" t="s">
        <v>7</v>
      </c>
    </row>
    <row r="559" spans="3:9" ht="15">
      <c r="C559" s="5"/>
      <c r="G559" s="9"/>
      <c r="H559" s="10"/>
      <c r="I559" s="4" t="s">
        <v>7</v>
      </c>
    </row>
    <row r="560" spans="3:9" ht="15">
      <c r="C560" s="5"/>
      <c r="G560" s="9"/>
      <c r="H560" s="10"/>
      <c r="I560" s="4" t="s">
        <v>7</v>
      </c>
    </row>
    <row r="561" spans="3:9" ht="15">
      <c r="C561" s="5"/>
      <c r="G561" s="9"/>
      <c r="H561" s="10"/>
      <c r="I561" s="4" t="s">
        <v>7</v>
      </c>
    </row>
    <row r="562" spans="3:9" ht="15">
      <c r="C562" s="5"/>
      <c r="G562" s="9"/>
      <c r="H562" s="10"/>
      <c r="I562" s="4" t="s">
        <v>7</v>
      </c>
    </row>
    <row r="563" spans="3:9" ht="15">
      <c r="C563" s="5"/>
      <c r="G563" s="9"/>
      <c r="H563" s="10"/>
      <c r="I563" s="4" t="s">
        <v>7</v>
      </c>
    </row>
    <row r="564" spans="3:9" ht="15">
      <c r="C564" s="5"/>
      <c r="G564" s="9"/>
      <c r="H564" s="10"/>
      <c r="I564" s="4" t="s">
        <v>7</v>
      </c>
    </row>
    <row r="565" spans="3:9" ht="15">
      <c r="C565" s="5"/>
      <c r="G565" s="9"/>
      <c r="H565" s="10"/>
      <c r="I565" s="4" t="s">
        <v>7</v>
      </c>
    </row>
    <row r="566" spans="3:9" ht="15">
      <c r="C566" s="5"/>
      <c r="G566" s="9"/>
      <c r="H566" s="10"/>
      <c r="I566" s="4" t="s">
        <v>7</v>
      </c>
    </row>
    <row r="567" spans="3:9" ht="15">
      <c r="C567" s="5"/>
      <c r="G567" s="9"/>
      <c r="H567" s="10"/>
      <c r="I567" s="4" t="s">
        <v>7</v>
      </c>
    </row>
    <row r="568" spans="3:9" ht="15">
      <c r="C568" s="5"/>
      <c r="G568" s="9"/>
      <c r="H568" s="10"/>
      <c r="I568" s="4" t="s">
        <v>7</v>
      </c>
    </row>
    <row r="569" spans="3:9" ht="15">
      <c r="C569" s="5"/>
      <c r="G569" s="9"/>
      <c r="H569" s="10"/>
      <c r="I569" s="4" t="s">
        <v>7</v>
      </c>
    </row>
    <row r="570" spans="3:9" ht="15">
      <c r="C570" s="5"/>
      <c r="G570" s="9"/>
      <c r="H570" s="10"/>
      <c r="I570" s="4" t="s">
        <v>7</v>
      </c>
    </row>
    <row r="571" spans="3:9" ht="15">
      <c r="C571" s="5"/>
      <c r="G571" s="9"/>
      <c r="H571" s="10"/>
      <c r="I571" s="4" t="s">
        <v>7</v>
      </c>
    </row>
    <row r="572" spans="3:9" ht="15">
      <c r="C572" s="5"/>
      <c r="G572" s="9"/>
      <c r="H572" s="10"/>
      <c r="I572" s="4" t="s">
        <v>7</v>
      </c>
    </row>
    <row r="573" spans="3:9" ht="15">
      <c r="C573" s="5"/>
      <c r="G573" s="9"/>
      <c r="H573" s="10"/>
      <c r="I573" s="4" t="s">
        <v>7</v>
      </c>
    </row>
    <row r="574" spans="3:9" ht="15">
      <c r="C574" s="5"/>
      <c r="G574" s="9"/>
      <c r="H574" s="10"/>
      <c r="I574" s="4" t="s">
        <v>7</v>
      </c>
    </row>
    <row r="575" spans="3:9" ht="15">
      <c r="C575" s="5"/>
      <c r="G575" s="9"/>
      <c r="H575" s="10"/>
      <c r="I575" s="4" t="s">
        <v>7</v>
      </c>
    </row>
    <row r="576" spans="3:9" ht="15">
      <c r="C576" s="5"/>
      <c r="G576" s="9"/>
      <c r="I576" s="4" t="s">
        <v>7</v>
      </c>
    </row>
    <row r="577" spans="3:9" ht="15">
      <c r="C577" s="5"/>
      <c r="G577" s="9"/>
      <c r="I577" s="4" t="s">
        <v>7</v>
      </c>
    </row>
    <row r="578" spans="3:9" ht="15">
      <c r="C578" s="5"/>
      <c r="G578" s="9"/>
    </row>
    <row r="579" spans="3:9" ht="15">
      <c r="C579" s="5"/>
      <c r="G579" s="9"/>
    </row>
    <row r="580" spans="3:9" ht="15">
      <c r="C580" s="5"/>
      <c r="G580" s="9"/>
    </row>
    <row r="581" spans="3:9" ht="15">
      <c r="C581" s="5"/>
      <c r="G581" s="9"/>
    </row>
    <row r="582" spans="3:9" ht="15">
      <c r="C582" s="5"/>
      <c r="G582" s="9"/>
    </row>
    <row r="583" spans="3:9" ht="15">
      <c r="C583" s="5"/>
      <c r="G583" s="9"/>
      <c r="I583" s="4" t="s">
        <v>7</v>
      </c>
    </row>
    <row r="584" spans="3:9" ht="15">
      <c r="C584" s="5"/>
      <c r="G584" s="9"/>
      <c r="I584" s="4" t="s">
        <v>7</v>
      </c>
    </row>
    <row r="585" spans="3:9" ht="15">
      <c r="C585" s="5"/>
      <c r="G585" s="9"/>
      <c r="I585" s="4" t="s">
        <v>7</v>
      </c>
    </row>
    <row r="586" spans="3:9" ht="15">
      <c r="C586" s="5"/>
      <c r="G586" s="9"/>
      <c r="I586" s="4" t="s">
        <v>7</v>
      </c>
    </row>
    <row r="587" spans="3:9" ht="15">
      <c r="C587" s="5"/>
      <c r="G587" s="9"/>
      <c r="I587" s="4" t="s">
        <v>7</v>
      </c>
    </row>
    <row r="588" spans="3:9" ht="15">
      <c r="C588" s="5"/>
      <c r="G588" s="9"/>
      <c r="I588" s="4" t="s">
        <v>7</v>
      </c>
    </row>
    <row r="589" spans="3:9" ht="15">
      <c r="C589" s="5"/>
      <c r="G589" s="9"/>
      <c r="I589" s="4" t="s">
        <v>7</v>
      </c>
    </row>
    <row r="590" spans="3:9" ht="15">
      <c r="C590" s="5"/>
      <c r="G590" s="9"/>
      <c r="I590" s="4" t="s">
        <v>7</v>
      </c>
    </row>
    <row r="591" spans="3:9" ht="15">
      <c r="C591" s="5"/>
      <c r="G591" s="9"/>
      <c r="I591" s="4" t="s">
        <v>7</v>
      </c>
    </row>
    <row r="592" spans="3:9" ht="15">
      <c r="C592" s="5"/>
      <c r="G592" s="9"/>
      <c r="I592" s="4" t="s">
        <v>7</v>
      </c>
    </row>
    <row r="593" spans="3:9" ht="15">
      <c r="C593" s="5"/>
      <c r="G593" s="9"/>
      <c r="I593" s="4" t="s">
        <v>7</v>
      </c>
    </row>
    <row r="594" spans="3:9" ht="15">
      <c r="C594" s="5"/>
      <c r="G594" s="9"/>
      <c r="I594" s="4" t="s">
        <v>7</v>
      </c>
    </row>
    <row r="595" spans="3:9" ht="15">
      <c r="C595" s="5"/>
      <c r="G595" s="9"/>
      <c r="I595" s="4" t="s">
        <v>7</v>
      </c>
    </row>
    <row r="596" spans="3:9" ht="15">
      <c r="C596" s="5"/>
      <c r="G596" s="9"/>
      <c r="I596" s="4" t="s">
        <v>7</v>
      </c>
    </row>
    <row r="597" spans="3:9" ht="15">
      <c r="C597" s="5"/>
      <c r="G597" s="9"/>
      <c r="I597" s="4" t="s">
        <v>7</v>
      </c>
    </row>
    <row r="598" spans="3:9" ht="15">
      <c r="C598" s="5"/>
      <c r="G598" s="9"/>
      <c r="I598" s="4" t="s">
        <v>7</v>
      </c>
    </row>
    <row r="599" spans="3:9" ht="15">
      <c r="C599" s="5"/>
      <c r="G599" s="9"/>
      <c r="I599" s="4" t="s">
        <v>7</v>
      </c>
    </row>
    <row r="600" spans="3:9" ht="15">
      <c r="C600" s="5"/>
      <c r="G600" s="9"/>
      <c r="I600" s="4"/>
    </row>
    <row r="601" spans="3:9" ht="15">
      <c r="C601" s="5"/>
      <c r="G601" s="9"/>
      <c r="I601" s="4"/>
    </row>
    <row r="602" spans="3:9" ht="15">
      <c r="C602" s="5"/>
      <c r="G602" s="9"/>
      <c r="I602" s="4"/>
    </row>
    <row r="603" spans="3:9" ht="15">
      <c r="C603" s="5"/>
      <c r="G603" s="9"/>
      <c r="I603" s="4"/>
    </row>
    <row r="604" spans="3:9" ht="15">
      <c r="C604" s="5"/>
      <c r="G604" s="9"/>
      <c r="I604" s="4" t="s">
        <v>7</v>
      </c>
    </row>
    <row r="605" spans="3:9" ht="15">
      <c r="C605" s="5"/>
      <c r="G605" s="9"/>
      <c r="I605" s="4" t="s">
        <v>7</v>
      </c>
    </row>
    <row r="606" spans="3:9" ht="15">
      <c r="C606" s="5"/>
      <c r="G606" s="9"/>
      <c r="I606" s="4" t="s">
        <v>7</v>
      </c>
    </row>
    <row r="607" spans="3:9" ht="15">
      <c r="C607" s="5"/>
      <c r="G607" s="9"/>
      <c r="I607" s="4" t="s">
        <v>7</v>
      </c>
    </row>
    <row r="608" spans="3:9" ht="15">
      <c r="C608" s="5"/>
      <c r="G608" s="9"/>
      <c r="I608" s="4" t="s">
        <v>7</v>
      </c>
    </row>
    <row r="609" spans="3:9" ht="15">
      <c r="C609" s="5"/>
      <c r="G609" s="9"/>
      <c r="I609" s="4" t="s">
        <v>7</v>
      </c>
    </row>
    <row r="610" spans="3:9" ht="15">
      <c r="C610" s="5"/>
      <c r="G610" s="9"/>
      <c r="I610" s="4" t="s">
        <v>7</v>
      </c>
    </row>
    <row r="611" spans="3:9" ht="15">
      <c r="C611" s="5"/>
      <c r="G611" s="9"/>
    </row>
    <row r="612" spans="3:9" ht="15">
      <c r="C612" s="5"/>
      <c r="G612" s="9"/>
    </row>
    <row r="613" spans="3:9" ht="15">
      <c r="C613" s="5"/>
      <c r="G613" s="9"/>
    </row>
    <row r="614" spans="3:9" ht="15">
      <c r="C614" s="5"/>
      <c r="G614" s="9"/>
    </row>
    <row r="615" spans="3:9" ht="15">
      <c r="C615" s="5"/>
      <c r="G615" s="9"/>
      <c r="I615" s="4" t="s">
        <v>7</v>
      </c>
    </row>
    <row r="616" spans="3:9" ht="15">
      <c r="C616" s="5"/>
      <c r="G616" s="9"/>
      <c r="I616" s="4" t="s">
        <v>7</v>
      </c>
    </row>
    <row r="617" spans="3:9" ht="15">
      <c r="C617" s="5"/>
      <c r="G617" s="9"/>
      <c r="I617" s="4" t="s">
        <v>7</v>
      </c>
    </row>
    <row r="618" spans="3:9" ht="15">
      <c r="C618" s="5"/>
      <c r="G618" s="9"/>
      <c r="I618" s="4" t="s">
        <v>7</v>
      </c>
    </row>
    <row r="619" spans="3:9" ht="15">
      <c r="C619" s="5"/>
      <c r="G619" s="9"/>
      <c r="I619" s="4" t="s">
        <v>7</v>
      </c>
    </row>
    <row r="620" spans="3:9" ht="15">
      <c r="C620" s="5"/>
      <c r="G620" s="9"/>
      <c r="I620" s="4" t="s">
        <v>7</v>
      </c>
    </row>
    <row r="621" spans="3:9" ht="15">
      <c r="C621" s="5"/>
      <c r="G621" s="9"/>
      <c r="I621" s="4" t="s">
        <v>7</v>
      </c>
    </row>
    <row r="622" spans="3:9" ht="15">
      <c r="C622" s="5"/>
      <c r="G622" s="9"/>
      <c r="I622" s="4" t="s">
        <v>7</v>
      </c>
    </row>
    <row r="623" spans="3:9" ht="15">
      <c r="C623" s="5"/>
      <c r="G623" s="9"/>
      <c r="I623" s="4" t="s">
        <v>7</v>
      </c>
    </row>
    <row r="624" spans="3:9" ht="15">
      <c r="C624" s="5"/>
      <c r="G624" s="9"/>
      <c r="I624" s="4" t="s">
        <v>7</v>
      </c>
    </row>
    <row r="625" spans="3:9" ht="15">
      <c r="C625" s="5"/>
      <c r="G625" s="9"/>
      <c r="I625" s="4" t="s">
        <v>7</v>
      </c>
    </row>
    <row r="626" spans="3:9" ht="15">
      <c r="C626" s="5"/>
      <c r="G626" s="9"/>
      <c r="I626" s="4" t="s">
        <v>7</v>
      </c>
    </row>
    <row r="627" spans="3:9" ht="15">
      <c r="C627" s="5"/>
      <c r="G627" s="9"/>
      <c r="I627" s="4" t="s">
        <v>7</v>
      </c>
    </row>
    <row r="628" spans="3:9" ht="15">
      <c r="C628" s="5"/>
      <c r="G628" s="9"/>
      <c r="I628" s="4" t="s">
        <v>7</v>
      </c>
    </row>
    <row r="629" spans="3:9" ht="15">
      <c r="C629" s="5"/>
      <c r="G629" s="9"/>
      <c r="I629" s="4" t="s">
        <v>7</v>
      </c>
    </row>
    <row r="630" spans="3:9" ht="15">
      <c r="C630" s="5"/>
      <c r="G630" s="9"/>
      <c r="I630" s="4" t="s">
        <v>7</v>
      </c>
    </row>
    <row r="631" spans="3:9" ht="15">
      <c r="C631" s="5"/>
      <c r="G631" s="9"/>
      <c r="I631" s="4" t="s">
        <v>7</v>
      </c>
    </row>
    <row r="632" spans="3:9" ht="15">
      <c r="C632" s="5"/>
      <c r="G632" s="9"/>
      <c r="I632" s="4" t="s">
        <v>7</v>
      </c>
    </row>
    <row r="633" spans="3:9" ht="15">
      <c r="C633" s="5"/>
      <c r="G633" s="9"/>
      <c r="I633" s="4" t="s">
        <v>7</v>
      </c>
    </row>
    <row r="634" spans="3:9" ht="15">
      <c r="C634" s="5"/>
      <c r="G634" s="9"/>
      <c r="I634" s="4" t="s">
        <v>7</v>
      </c>
    </row>
    <row r="635" spans="3:9" ht="15">
      <c r="C635" s="5"/>
      <c r="G635" s="9"/>
      <c r="I635" s="4" t="s">
        <v>7</v>
      </c>
    </row>
    <row r="636" spans="3:9" ht="15">
      <c r="C636" s="5"/>
      <c r="G636" s="9"/>
      <c r="I636" s="4" t="s">
        <v>7</v>
      </c>
    </row>
    <row r="637" spans="3:9" ht="15">
      <c r="C637" s="5"/>
      <c r="G637" s="9"/>
      <c r="I637" s="4"/>
    </row>
    <row r="638" spans="3:9" ht="15">
      <c r="C638" s="5"/>
      <c r="G638" s="9"/>
      <c r="I638" s="4"/>
    </row>
    <row r="639" spans="3:9" ht="15">
      <c r="C639" s="5"/>
      <c r="G639" s="9"/>
      <c r="I639" s="4"/>
    </row>
    <row r="640" spans="3:9" ht="15">
      <c r="C640" s="5"/>
      <c r="G640" s="9"/>
      <c r="I640" s="4"/>
    </row>
    <row r="641" spans="3:9" ht="15">
      <c r="C641" s="5"/>
      <c r="G641" s="9"/>
      <c r="I641" s="4"/>
    </row>
    <row r="642" spans="3:9" ht="15">
      <c r="C642" s="5"/>
      <c r="G642" s="9"/>
      <c r="I642" s="4"/>
    </row>
    <row r="643" spans="3:9" ht="15">
      <c r="C643" s="5"/>
      <c r="G643" s="9"/>
      <c r="I643" s="4"/>
    </row>
    <row r="644" spans="3:9" ht="15">
      <c r="C644" s="5"/>
      <c r="G644" s="9"/>
      <c r="I644" s="4"/>
    </row>
    <row r="645" spans="3:9" ht="15">
      <c r="C645" s="5"/>
      <c r="G645" s="9"/>
      <c r="I645" s="4"/>
    </row>
    <row r="646" spans="3:9" ht="15">
      <c r="C646" s="5"/>
      <c r="G646" s="9"/>
      <c r="I646" s="4"/>
    </row>
    <row r="647" spans="3:9" ht="15">
      <c r="C647" s="5"/>
      <c r="G647" s="9"/>
      <c r="I647" s="4"/>
    </row>
    <row r="648" spans="3:9" ht="15">
      <c r="C648" s="5"/>
      <c r="G648" s="9"/>
      <c r="I648" s="4"/>
    </row>
    <row r="649" spans="3:9" ht="15">
      <c r="C649" s="5"/>
      <c r="G649" s="9"/>
      <c r="I649" s="4"/>
    </row>
    <row r="650" spans="3:9" ht="15">
      <c r="C650" s="5"/>
      <c r="G650" s="9"/>
    </row>
    <row r="651" spans="3:9" ht="15">
      <c r="C651" s="5"/>
      <c r="G651" s="9"/>
    </row>
    <row r="652" spans="3:9" ht="15">
      <c r="C652" s="5"/>
      <c r="G652" s="9"/>
    </row>
    <row r="653" spans="3:9" ht="15">
      <c r="C653" s="5"/>
      <c r="G653" s="9"/>
    </row>
    <row r="654" spans="3:9" ht="15">
      <c r="C654" s="5"/>
      <c r="G654" s="9"/>
    </row>
    <row r="655" spans="3:9" ht="15">
      <c r="C655" s="5"/>
      <c r="G655" s="9"/>
    </row>
    <row r="656" spans="3:9" ht="15">
      <c r="C656" s="5"/>
      <c r="G656" s="9"/>
    </row>
    <row r="657" spans="3:7" ht="15">
      <c r="C657" s="5"/>
      <c r="G657" s="9"/>
    </row>
    <row r="658" spans="3:7" ht="15">
      <c r="C658" s="5"/>
      <c r="G658" s="9"/>
    </row>
    <row r="659" spans="3:7" ht="15">
      <c r="C659" s="5"/>
      <c r="G659" s="9"/>
    </row>
    <row r="660" spans="3:7" ht="15">
      <c r="C660" s="5"/>
      <c r="G660" s="9"/>
    </row>
    <row r="661" spans="3:7" ht="15">
      <c r="C661" s="5"/>
      <c r="G661" s="9"/>
    </row>
    <row r="662" spans="3:7" ht="15">
      <c r="C662" s="5"/>
      <c r="G662" s="9"/>
    </row>
    <row r="663" spans="3:7" ht="15">
      <c r="C663" s="5"/>
      <c r="G663" s="9"/>
    </row>
    <row r="664" spans="3:7" ht="15">
      <c r="C664" s="5"/>
      <c r="G664" s="9"/>
    </row>
    <row r="665" spans="3:7" ht="15">
      <c r="C665" s="5"/>
      <c r="G665" s="9"/>
    </row>
    <row r="666" spans="3:7" ht="15">
      <c r="C666" s="5"/>
      <c r="G666" s="9"/>
    </row>
    <row r="667" spans="3:7" ht="15">
      <c r="C667" s="5"/>
      <c r="G667" s="9"/>
    </row>
    <row r="668" spans="3:7" ht="15">
      <c r="C668" s="5"/>
      <c r="G668" s="9"/>
    </row>
    <row r="669" spans="3:7" ht="15">
      <c r="C669" s="5"/>
      <c r="G669" s="9"/>
    </row>
    <row r="670" spans="3:7" ht="15">
      <c r="C670" s="5"/>
      <c r="G670" s="9"/>
    </row>
    <row r="671" spans="3:7" ht="15">
      <c r="C671" s="5"/>
      <c r="G671" s="9"/>
    </row>
    <row r="672" spans="3:7" ht="15">
      <c r="C672" s="5"/>
      <c r="G672" s="9"/>
    </row>
    <row r="673" spans="3:7" ht="15">
      <c r="C673" s="5"/>
      <c r="G673" s="9"/>
    </row>
    <row r="674" spans="3:7" ht="15">
      <c r="C674" s="5"/>
      <c r="G674" s="9"/>
    </row>
    <row r="675" spans="3:7" ht="15">
      <c r="C675" s="5"/>
      <c r="G675" s="9"/>
    </row>
    <row r="676" spans="3:7" ht="15">
      <c r="C676" s="5"/>
      <c r="G676" s="9"/>
    </row>
    <row r="677" spans="3:7" ht="15">
      <c r="C677" s="5"/>
      <c r="G677" s="9"/>
    </row>
    <row r="678" spans="3:7" ht="15">
      <c r="C678" s="5"/>
      <c r="G678" s="9"/>
    </row>
    <row r="679" spans="3:7" ht="15">
      <c r="C679" s="5"/>
      <c r="G679" s="9"/>
    </row>
    <row r="680" spans="3:7" ht="15">
      <c r="C680" s="5"/>
      <c r="G680" s="9"/>
    </row>
    <row r="681" spans="3:7" ht="15"/>
    <row r="682" spans="3:7" ht="15"/>
    <row r="683" spans="3:7" ht="15"/>
    <row r="684" spans="3:7" ht="15"/>
    <row r="685" spans="3:7" ht="15"/>
    <row r="686" spans="3:7" ht="15"/>
    <row r="687" spans="3:7" ht="15"/>
    <row r="688" spans="3:7" ht="15"/>
    <row r="689" ht="15"/>
    <row r="690" ht="15"/>
    <row r="691" ht="15"/>
    <row r="692" ht="15"/>
    <row r="693" ht="15"/>
    <row r="694" ht="15"/>
    <row r="695" ht="15"/>
    <row r="696" ht="15"/>
    <row r="697" ht="15"/>
    <row r="698" ht="15"/>
    <row r="699" ht="15"/>
    <row r="700" ht="15"/>
    <row r="701" ht="15"/>
    <row r="702" ht="15"/>
    <row r="703" ht="15"/>
    <row r="704" ht="15"/>
    <row r="705" ht="15"/>
    <row r="706" ht="15"/>
    <row r="707" ht="15"/>
    <row r="708" ht="15"/>
    <row r="709" ht="15"/>
    <row r="710" ht="15"/>
    <row r="711" ht="15"/>
    <row r="712" ht="15"/>
    <row r="713" ht="15"/>
    <row r="714" ht="15"/>
    <row r="715" ht="15"/>
    <row r="716" ht="15"/>
    <row r="717" ht="15"/>
    <row r="718" ht="15"/>
    <row r="719" ht="15"/>
    <row r="720" ht="15"/>
    <row r="721" ht="15"/>
    <row r="722" ht="15"/>
    <row r="723" ht="15"/>
    <row r="724" ht="15"/>
    <row r="725" ht="15"/>
    <row r="726" ht="15"/>
    <row r="727" ht="15"/>
    <row r="728" ht="15"/>
    <row r="729" ht="15"/>
    <row r="730" ht="15"/>
    <row r="731" ht="15"/>
    <row r="732" ht="15"/>
    <row r="733" ht="15"/>
    <row r="734" ht="15"/>
    <row r="735" ht="15"/>
    <row r="736" ht="15"/>
    <row r="737" ht="15"/>
    <row r="738" ht="15"/>
    <row r="739" ht="15"/>
    <row r="740" ht="15"/>
    <row r="741" ht="15"/>
    <row r="742" ht="15"/>
    <row r="743" ht="15"/>
    <row r="744" ht="15"/>
    <row r="745" ht="15"/>
    <row r="746" ht="15"/>
    <row r="747" ht="15"/>
    <row r="748" ht="15"/>
    <row r="749" ht="15"/>
    <row r="750" ht="15"/>
    <row r="751" ht="15"/>
    <row r="752" ht="15"/>
    <row r="753" ht="15"/>
    <row r="754" ht="15"/>
    <row r="755" ht="15"/>
    <row r="756" ht="15"/>
    <row r="757" ht="15"/>
    <row r="758" ht="15"/>
    <row r="759" ht="15"/>
    <row r="760" ht="15"/>
    <row r="761" ht="15"/>
    <row r="762" ht="15"/>
    <row r="763" ht="15"/>
    <row r="764" ht="15"/>
    <row r="765" ht="15"/>
    <row r="766" ht="15"/>
    <row r="767" ht="15"/>
    <row r="768" ht="15"/>
    <row r="769" ht="15"/>
    <row r="770" ht="15"/>
    <row r="771" ht="15"/>
    <row r="772" ht="15"/>
    <row r="773" ht="15"/>
    <row r="774" ht="15"/>
    <row r="775" ht="15"/>
    <row r="776" ht="15"/>
    <row r="777" ht="15"/>
    <row r="778" ht="15"/>
    <row r="779" ht="15"/>
    <row r="780" ht="15"/>
    <row r="781" ht="15"/>
    <row r="782" ht="15"/>
    <row r="783" ht="15"/>
    <row r="784" ht="15"/>
    <row r="785" ht="15"/>
    <row r="786" ht="15"/>
    <row r="787" ht="15"/>
    <row r="788" ht="15"/>
    <row r="789" ht="15"/>
    <row r="790" ht="15"/>
    <row r="791" ht="15"/>
    <row r="792" ht="15"/>
    <row r="793" ht="15"/>
    <row r="794" ht="15"/>
    <row r="795" ht="15"/>
    <row r="796" ht="15"/>
    <row r="797" ht="15"/>
    <row r="798" ht="15"/>
    <row r="799" ht="15"/>
    <row r="800" ht="15"/>
    <row r="801" ht="15"/>
    <row r="802" ht="15"/>
    <row r="803" ht="15"/>
    <row r="804" ht="15"/>
    <row r="805" ht="15"/>
    <row r="806" ht="15"/>
    <row r="807" ht="15"/>
    <row r="808" ht="15"/>
    <row r="809" ht="15"/>
    <row r="810" ht="15"/>
    <row r="811" ht="15"/>
    <row r="812" ht="15"/>
    <row r="813" ht="15"/>
    <row r="814" ht="15"/>
    <row r="815" ht="15"/>
    <row r="816" ht="15"/>
    <row r="817" ht="15"/>
    <row r="818" ht="15"/>
    <row r="819" ht="15"/>
    <row r="820" ht="15"/>
    <row r="821" ht="15"/>
    <row r="822" ht="15"/>
    <row r="823" ht="15"/>
    <row r="824" ht="15"/>
    <row r="825" ht="15"/>
    <row r="826" ht="15"/>
    <row r="827" ht="15"/>
    <row r="828" ht="15"/>
    <row r="829" ht="15"/>
    <row r="830" ht="15"/>
    <row r="831" ht="15"/>
    <row r="832" ht="15"/>
    <row r="833" ht="15"/>
    <row r="834" ht="15"/>
    <row r="835" ht="15"/>
    <row r="836" ht="15"/>
    <row r="837" ht="15"/>
    <row r="838" ht="15"/>
    <row r="839" ht="15"/>
    <row r="840" ht="15"/>
    <row r="841" ht="15"/>
    <row r="842" ht="15"/>
    <row r="843" ht="15"/>
    <row r="844" ht="15"/>
    <row r="845" ht="15"/>
    <row r="846" ht="15"/>
    <row r="847" ht="15"/>
    <row r="848" ht="15"/>
    <row r="849" ht="15"/>
    <row r="850" ht="15"/>
    <row r="851" ht="15"/>
    <row r="852" ht="15"/>
    <row r="853" ht="15"/>
    <row r="854" ht="15"/>
    <row r="855" ht="15"/>
    <row r="856" ht="15"/>
    <row r="857" ht="15"/>
    <row r="858" ht="15"/>
    <row r="859" ht="15"/>
    <row r="860" ht="15"/>
    <row r="861" ht="15"/>
    <row r="862" ht="15"/>
    <row r="863" ht="15"/>
    <row r="864" ht="15"/>
    <row r="865" ht="15"/>
    <row r="866" ht="15"/>
    <row r="867" ht="15"/>
    <row r="868" ht="15"/>
    <row r="869" ht="15"/>
    <row r="870" ht="15"/>
    <row r="871" ht="15"/>
    <row r="872" ht="15"/>
    <row r="873" ht="15"/>
    <row r="874" ht="15"/>
    <row r="875" ht="15"/>
    <row r="876" ht="15"/>
    <row r="877" ht="15"/>
    <row r="878" ht="15"/>
    <row r="879" ht="15"/>
    <row r="880" ht="15"/>
    <row r="881" ht="15"/>
    <row r="882" ht="15"/>
    <row r="883" ht="15"/>
    <row r="884" ht="15"/>
    <row r="885" ht="15"/>
    <row r="886" ht="15"/>
    <row r="887" ht="15"/>
    <row r="888" ht="15"/>
    <row r="889" ht="15"/>
    <row r="890" ht="15"/>
    <row r="891" ht="15"/>
    <row r="892" ht="15"/>
    <row r="893" ht="15"/>
    <row r="894" ht="15"/>
    <row r="895" ht="15"/>
    <row r="896" ht="15"/>
    <row r="897" ht="15"/>
    <row r="898" ht="15"/>
    <row r="899" ht="15"/>
    <row r="900" ht="15"/>
    <row r="901" ht="15"/>
    <row r="902" ht="15"/>
    <row r="903" ht="15"/>
    <row r="904" ht="15"/>
    <row r="905" ht="15"/>
    <row r="906" ht="15"/>
    <row r="907" ht="15"/>
    <row r="908" ht="15"/>
    <row r="909" ht="15"/>
    <row r="910" ht="15"/>
    <row r="911" ht="15"/>
    <row r="912" ht="15"/>
    <row r="913" ht="15"/>
    <row r="914" ht="15"/>
    <row r="915" ht="15"/>
    <row r="916" ht="15"/>
    <row r="917" ht="15"/>
    <row r="918" ht="15"/>
    <row r="919" ht="15"/>
    <row r="920" ht="15"/>
    <row r="921" ht="15"/>
    <row r="922" ht="15"/>
    <row r="923" ht="15"/>
    <row r="924" ht="15"/>
    <row r="925" ht="15"/>
    <row r="926" ht="15"/>
    <row r="927" ht="15"/>
    <row r="928" ht="15"/>
    <row r="929" ht="15"/>
    <row r="930" ht="15"/>
    <row r="931" ht="15"/>
    <row r="932" ht="15"/>
    <row r="933" ht="15"/>
    <row r="934" ht="15"/>
    <row r="935" ht="15"/>
    <row r="936" ht="15"/>
    <row r="937" ht="15"/>
    <row r="938" ht="15"/>
    <row r="939" ht="15"/>
    <row r="940" ht="15"/>
    <row r="941" ht="15"/>
    <row r="942" ht="15"/>
    <row r="943" ht="15"/>
    <row r="944" ht="15"/>
    <row r="945" ht="15"/>
    <row r="946" ht="15"/>
    <row r="947" ht="15"/>
    <row r="948" ht="15"/>
    <row r="949" ht="15"/>
    <row r="950" ht="15"/>
    <row r="951" ht="15"/>
    <row r="952" ht="15"/>
    <row r="953" ht="15"/>
    <row r="954" ht="15"/>
    <row r="955" ht="15"/>
    <row r="956" ht="15"/>
    <row r="957" ht="15"/>
    <row r="958" ht="15"/>
    <row r="959" ht="15"/>
    <row r="960" ht="15"/>
    <row r="961" ht="15"/>
    <row r="962" ht="15"/>
    <row r="963" ht="15"/>
    <row r="964" ht="15"/>
    <row r="965" ht="15"/>
    <row r="966" ht="15"/>
    <row r="967" ht="15"/>
    <row r="968" ht="15"/>
    <row r="969" ht="15"/>
    <row r="970" ht="15"/>
    <row r="971" ht="15"/>
    <row r="972" ht="15"/>
    <row r="973" ht="15"/>
    <row r="974" ht="15"/>
    <row r="975" ht="15"/>
    <row r="976" ht="15"/>
    <row r="977" ht="15"/>
    <row r="978" ht="15"/>
    <row r="979" ht="15"/>
    <row r="980" ht="15"/>
    <row r="981" ht="15"/>
    <row r="982" ht="15"/>
    <row r="983" ht="15"/>
    <row r="984" ht="15"/>
    <row r="985" ht="15"/>
    <row r="986" ht="15"/>
    <row r="987" ht="15"/>
    <row r="988" ht="15"/>
    <row r="989" ht="15"/>
    <row r="990" ht="15"/>
    <row r="991" ht="15"/>
    <row r="992" ht="15"/>
    <row r="993" ht="15"/>
    <row r="994" ht="15"/>
    <row r="995" ht="15"/>
    <row r="996" ht="15"/>
    <row r="997" ht="15"/>
    <row r="998" ht="15"/>
    <row r="999" ht="15"/>
    <row r="1000" ht="15"/>
    <row r="1001" ht="15"/>
    <row r="1002" ht="15"/>
    <row r="1003" ht="15"/>
    <row r="1004" ht="15"/>
    <row r="1005" ht="15"/>
    <row r="1006" ht="15"/>
    <row r="1007" ht="15"/>
    <row r="1008" ht="15"/>
    <row r="1009" ht="15"/>
    <row r="1010" ht="15"/>
    <row r="1011" ht="15"/>
    <row r="1012" ht="15"/>
    <row r="1013" ht="15"/>
    <row r="1014" ht="15"/>
    <row r="1015" ht="15"/>
    <row r="1016" ht="15"/>
    <row r="1017" ht="15"/>
    <row r="1018" ht="15"/>
    <row r="1019" ht="15"/>
    <row r="1020" ht="15"/>
    <row r="1021" ht="15"/>
    <row r="1022" ht="15"/>
    <row r="1023" ht="15"/>
    <row r="1024" ht="15"/>
    <row r="1025" ht="15"/>
    <row r="1026" ht="15"/>
    <row r="1027" ht="15"/>
    <row r="1028" ht="15"/>
    <row r="1029" ht="15"/>
    <row r="1030" ht="15"/>
    <row r="1031" ht="15"/>
    <row r="1032" ht="15"/>
    <row r="1033" ht="15"/>
    <row r="1034" ht="15"/>
    <row r="1035" ht="15"/>
    <row r="1036" ht="15"/>
    <row r="1037" ht="15"/>
    <row r="1038" ht="15"/>
    <row r="1039" ht="15"/>
    <row r="1040" ht="15"/>
    <row r="1041" ht="15"/>
    <row r="1042" ht="15"/>
    <row r="1043" ht="15"/>
    <row r="1044" ht="15"/>
    <row r="1045" ht="15"/>
    <row r="1046" ht="15"/>
    <row r="1047" ht="15"/>
    <row r="1048" ht="15"/>
    <row r="1049" ht="15"/>
    <row r="1050" ht="15"/>
    <row r="1051" ht="15"/>
    <row r="1052" ht="15"/>
    <row r="1053" ht="15"/>
    <row r="1054" ht="15"/>
    <row r="1055" ht="15"/>
    <row r="1056" ht="15"/>
    <row r="1057" ht="15"/>
    <row r="1058" ht="15"/>
    <row r="1059" ht="15"/>
    <row r="1060" ht="15"/>
    <row r="1061" ht="15"/>
    <row r="1062" ht="15"/>
    <row r="1063" ht="15"/>
    <row r="1064" ht="15"/>
    <row r="1065" ht="15"/>
    <row r="1066" ht="15"/>
    <row r="1067" ht="15"/>
  </sheetData>
  <mergeCells count="1">
    <mergeCell ref="A1:G1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3AA56-5EC1-473B-AE59-AEB982F11E08}">
  <dimension ref="A1:I1073"/>
  <sheetViews>
    <sheetView tabSelected="1" zoomScale="85" zoomScaleNormal="85" workbookViewId="0">
      <selection activeCell="L13" sqref="L13"/>
    </sheetView>
  </sheetViews>
  <sheetFormatPr defaultColWidth="12.5703125" defaultRowHeight="15.75" customHeight="1"/>
  <cols>
    <col min="1" max="1" width="63.42578125" bestFit="1" customWidth="1"/>
    <col min="2" max="2" width="21.140625" style="17" bestFit="1" customWidth="1"/>
    <col min="3" max="3" width="21.42578125" bestFit="1" customWidth="1"/>
    <col min="4" max="4" width="17.42578125" customWidth="1"/>
    <col min="5" max="5" width="28.28515625" customWidth="1"/>
    <col min="6" max="6" width="32.42578125" style="17" customWidth="1"/>
    <col min="7" max="7" width="37.140625" style="11" customWidth="1"/>
  </cols>
  <sheetData>
    <row r="1" spans="1:9" ht="45.75" customHeight="1">
      <c r="A1" s="75"/>
      <c r="B1" s="80" t="s">
        <v>119</v>
      </c>
      <c r="C1" s="81"/>
      <c r="D1" s="81"/>
      <c r="E1" s="81"/>
      <c r="F1" s="86" t="s">
        <v>120</v>
      </c>
      <c r="G1" s="86" t="s">
        <v>121</v>
      </c>
    </row>
    <row r="2" spans="1:9" s="35" customFormat="1" ht="40.5" customHeight="1">
      <c r="A2" s="76"/>
      <c r="B2" s="82"/>
      <c r="C2" s="83"/>
      <c r="D2" s="83"/>
      <c r="E2" s="83"/>
      <c r="F2" s="86" t="s">
        <v>122</v>
      </c>
      <c r="G2" s="87">
        <v>45713</v>
      </c>
    </row>
    <row r="3" spans="1:9" ht="19.5" customHeight="1">
      <c r="A3" s="76"/>
      <c r="B3" s="82"/>
      <c r="C3" s="83"/>
      <c r="D3" s="83"/>
      <c r="E3" s="83"/>
      <c r="F3" s="86" t="s">
        <v>123</v>
      </c>
      <c r="G3" s="86" t="s">
        <v>124</v>
      </c>
    </row>
    <row r="4" spans="1:9" ht="75.75" customHeight="1">
      <c r="A4" s="77"/>
      <c r="B4" s="84"/>
      <c r="C4" s="85"/>
      <c r="D4" s="85"/>
      <c r="E4" s="85"/>
      <c r="F4" s="86" t="s">
        <v>123</v>
      </c>
      <c r="G4" s="86" t="s">
        <v>124</v>
      </c>
    </row>
    <row r="5" spans="1:9" ht="55.5" customHeight="1">
      <c r="A5" s="78" t="s">
        <v>0</v>
      </c>
      <c r="B5" s="79"/>
      <c r="C5" s="79"/>
      <c r="D5" s="79"/>
      <c r="E5" s="79"/>
      <c r="F5" s="79"/>
      <c r="G5" s="79"/>
    </row>
    <row r="6" spans="1:9" ht="40.5">
      <c r="A6" s="39" t="s">
        <v>1</v>
      </c>
      <c r="B6" s="39" t="s">
        <v>2</v>
      </c>
      <c r="C6" s="39" t="s">
        <v>3</v>
      </c>
      <c r="D6" s="39" t="s">
        <v>4</v>
      </c>
      <c r="E6" s="39" t="s">
        <v>5</v>
      </c>
      <c r="F6" s="40" t="s">
        <v>11</v>
      </c>
      <c r="G6" s="41" t="s">
        <v>6</v>
      </c>
      <c r="H6" s="35"/>
      <c r="I6" s="35"/>
    </row>
    <row r="7" spans="1:9" ht="20.100000000000001" customHeight="1">
      <c r="A7" s="42" t="s">
        <v>12</v>
      </c>
      <c r="B7" s="43"/>
      <c r="C7" s="43"/>
      <c r="D7" s="43"/>
      <c r="E7" s="43"/>
      <c r="F7" s="43"/>
      <c r="G7" s="44"/>
    </row>
    <row r="8" spans="1:9" ht="20.100000000000001" customHeight="1">
      <c r="A8" s="45" t="str">
        <f ca="1">IFERROR(__xludf.DUMMYFUNCTION("""COMPUTED_VALUE"""),"Qlikohemoqlobin (HbA1C)")</f>
        <v>Qlikohemoqlobin (HbA1C)</v>
      </c>
      <c r="B8" s="46" t="s">
        <v>35</v>
      </c>
      <c r="C8" s="46" t="s">
        <v>36</v>
      </c>
      <c r="D8" s="46" t="s">
        <v>37</v>
      </c>
      <c r="E8" s="46" t="s">
        <v>38</v>
      </c>
      <c r="F8" s="47" t="s">
        <v>39</v>
      </c>
      <c r="G8" s="48" t="s">
        <v>40</v>
      </c>
    </row>
    <row r="9" spans="1:9" ht="20.100000000000001" customHeight="1">
      <c r="A9" s="49" t="str">
        <f ca="1">IFERROR(__xludf.DUMMYFUNCTION("""COMPUTED_VALUE"""),"Qlükoza sidikdə (birdəfəlik)")</f>
        <v>Qlükoza sidikdə (birdəfəlik)</v>
      </c>
      <c r="B9" s="50" t="s">
        <v>35</v>
      </c>
      <c r="C9" s="50" t="s">
        <v>41</v>
      </c>
      <c r="D9" s="50" t="s">
        <v>37</v>
      </c>
      <c r="E9" s="50" t="s">
        <v>42</v>
      </c>
      <c r="F9" s="51" t="s">
        <v>43</v>
      </c>
      <c r="G9" s="52" t="s">
        <v>40</v>
      </c>
    </row>
    <row r="10" spans="1:9" ht="20.100000000000001" customHeight="1">
      <c r="A10" s="45" t="str">
        <f ca="1">IFERROR(__xludf.DUMMYFUNCTION("""COMPUTED_VALUE"""),"Qlükoza sidikdə (sutkalıq)")</f>
        <v>Qlükoza sidikdə (sutkalıq)</v>
      </c>
      <c r="B10" s="46" t="s">
        <v>35</v>
      </c>
      <c r="C10" s="46" t="s">
        <v>41</v>
      </c>
      <c r="D10" s="46" t="s">
        <v>37</v>
      </c>
      <c r="E10" s="46" t="s">
        <v>42</v>
      </c>
      <c r="F10" s="47" t="s">
        <v>43</v>
      </c>
      <c r="G10" s="48" t="s">
        <v>40</v>
      </c>
    </row>
    <row r="11" spans="1:9" ht="20.100000000000001" customHeight="1">
      <c r="A11" s="49" t="str">
        <f ca="1">IFERROR(__xludf.DUMMYFUNCTION("""COMPUTED_VALUE"""),"Qlükoza(qanda)")</f>
        <v>Qlükoza(qanda)</v>
      </c>
      <c r="B11" s="50" t="s">
        <v>35</v>
      </c>
      <c r="C11" s="50" t="s">
        <v>44</v>
      </c>
      <c r="D11" s="50" t="s">
        <v>37</v>
      </c>
      <c r="E11" s="50" t="s">
        <v>42</v>
      </c>
      <c r="F11" s="51" t="s">
        <v>45</v>
      </c>
      <c r="G11" s="52" t="s">
        <v>40</v>
      </c>
    </row>
    <row r="12" spans="1:9" ht="20.100000000000001" customHeight="1">
      <c r="A12" s="45" t="str">
        <f ca="1">IFERROR(__xludf.DUMMYFUNCTION("""COMPUTED_VALUE"""),"Şəkər yüklənməsi (hamilə)")</f>
        <v>Şəkər yüklənməsi (hamilə)</v>
      </c>
      <c r="B12" s="46" t="s">
        <v>35</v>
      </c>
      <c r="C12" s="46" t="s">
        <v>44</v>
      </c>
      <c r="D12" s="46" t="s">
        <v>37</v>
      </c>
      <c r="E12" s="46" t="s">
        <v>42</v>
      </c>
      <c r="F12" s="47" t="s">
        <v>46</v>
      </c>
      <c r="G12" s="48" t="s">
        <v>40</v>
      </c>
    </row>
    <row r="13" spans="1:9" ht="20.100000000000001" customHeight="1">
      <c r="A13" s="42" t="s">
        <v>34</v>
      </c>
      <c r="B13" s="43"/>
      <c r="C13" s="43"/>
      <c r="D13" s="43"/>
      <c r="E13" s="43"/>
      <c r="F13" s="43"/>
      <c r="G13" s="44"/>
    </row>
    <row r="14" spans="1:9" ht="20.100000000000001" customHeight="1">
      <c r="A14" s="45" t="str">
        <f ca="1">IFERROR(__xludf.DUMMYFUNCTION("""COMPUTED_VALUE"""),"Alaninaminotransferaza (ALT)")</f>
        <v>Alaninaminotransferaza (ALT)</v>
      </c>
      <c r="B14" s="46" t="s">
        <v>35</v>
      </c>
      <c r="C14" s="46" t="s">
        <v>44</v>
      </c>
      <c r="D14" s="46" t="s">
        <v>37</v>
      </c>
      <c r="E14" s="46" t="s">
        <v>42</v>
      </c>
      <c r="F14" s="47" t="s">
        <v>45</v>
      </c>
      <c r="G14" s="48" t="s">
        <v>40</v>
      </c>
    </row>
    <row r="15" spans="1:9" ht="20.100000000000001" customHeight="1">
      <c r="A15" s="49" t="str">
        <f ca="1">IFERROR(__xludf.DUMMYFUNCTION("""COMPUTED_VALUE"""),"Amilaza qanda")</f>
        <v>Amilaza qanda</v>
      </c>
      <c r="B15" s="50" t="s">
        <v>35</v>
      </c>
      <c r="C15" s="50" t="s">
        <v>44</v>
      </c>
      <c r="D15" s="50" t="s">
        <v>37</v>
      </c>
      <c r="E15" s="50" t="s">
        <v>42</v>
      </c>
      <c r="F15" s="51" t="s">
        <v>45</v>
      </c>
      <c r="G15" s="52" t="s">
        <v>40</v>
      </c>
    </row>
    <row r="16" spans="1:9" ht="20.100000000000001" customHeight="1">
      <c r="A16" s="45" t="str">
        <f ca="1">IFERROR(__xludf.DUMMYFUNCTION("""COMPUTED_VALUE"""),"Aspartataminotransferaza (AST)")</f>
        <v>Aspartataminotransferaza (AST)</v>
      </c>
      <c r="B16" s="46" t="s">
        <v>35</v>
      </c>
      <c r="C16" s="46" t="s">
        <v>44</v>
      </c>
      <c r="D16" s="46" t="s">
        <v>37</v>
      </c>
      <c r="E16" s="46" t="s">
        <v>42</v>
      </c>
      <c r="F16" s="47" t="s">
        <v>45</v>
      </c>
      <c r="G16" s="48" t="s">
        <v>40</v>
      </c>
    </row>
    <row r="17" spans="1:7" ht="20.100000000000001" customHeight="1">
      <c r="A17" s="45" t="str">
        <f ca="1">IFERROR(__xludf.DUMMYFUNCTION("""COMPUTED_VALUE"""),"Diastaza sidikdə(təzə yığılmış)")</f>
        <v>Diastaza sidikdə(təzə yığılmış)</v>
      </c>
      <c r="B17" s="50" t="s">
        <v>35</v>
      </c>
      <c r="C17" s="50" t="s">
        <v>41</v>
      </c>
      <c r="D17" s="50" t="s">
        <v>37</v>
      </c>
      <c r="E17" s="50" t="s">
        <v>42</v>
      </c>
      <c r="F17" s="51" t="s">
        <v>45</v>
      </c>
      <c r="G17" s="52" t="s">
        <v>47</v>
      </c>
    </row>
    <row r="18" spans="1:7" ht="20.100000000000001" customHeight="1">
      <c r="A18" s="45" t="str">
        <f ca="1">IFERROR(__xludf.DUMMYFUNCTION("""COMPUTED_VALUE"""),"PANKREATİK AMİLAZA")</f>
        <v>PANKREATİK AMİLAZA</v>
      </c>
      <c r="B18" s="46" t="s">
        <v>35</v>
      </c>
      <c r="C18" s="46" t="s">
        <v>44</v>
      </c>
      <c r="D18" s="46" t="s">
        <v>37</v>
      </c>
      <c r="E18" s="46" t="s">
        <v>42</v>
      </c>
      <c r="F18" s="47" t="s">
        <v>48</v>
      </c>
      <c r="G18" s="48" t="s">
        <v>40</v>
      </c>
    </row>
    <row r="19" spans="1:7" ht="20.100000000000001" customHeight="1">
      <c r="A19" s="49" t="str">
        <f ca="1">IFERROR(__xludf.DUMMYFUNCTION("""COMPUTED_VALUE"""),"Kreatinkinaza CK-MB frak.")</f>
        <v>Kreatinkinaza CK-MB frak.</v>
      </c>
      <c r="B19" s="50" t="s">
        <v>35</v>
      </c>
      <c r="C19" s="50" t="s">
        <v>44</v>
      </c>
      <c r="D19" s="50" t="s">
        <v>37</v>
      </c>
      <c r="E19" s="50" t="s">
        <v>42</v>
      </c>
      <c r="F19" s="51" t="s">
        <v>45</v>
      </c>
      <c r="G19" s="52" t="s">
        <v>40</v>
      </c>
    </row>
    <row r="20" spans="1:7" ht="20.100000000000001" customHeight="1">
      <c r="A20" s="45" t="str">
        <f ca="1">IFERROR(__xludf.DUMMYFUNCTION("""COMPUTED_VALUE"""),"Laktatdehidrogenaza (LDH)")</f>
        <v>Laktatdehidrogenaza (LDH)</v>
      </c>
      <c r="B20" s="46" t="s">
        <v>35</v>
      </c>
      <c r="C20" s="46" t="s">
        <v>44</v>
      </c>
      <c r="D20" s="46" t="s">
        <v>37</v>
      </c>
      <c r="E20" s="46" t="s">
        <v>42</v>
      </c>
      <c r="F20" s="47" t="s">
        <v>45</v>
      </c>
      <c r="G20" s="48" t="s">
        <v>40</v>
      </c>
    </row>
    <row r="21" spans="1:7" ht="20.100000000000001" customHeight="1">
      <c r="A21" s="49" t="str">
        <f ca="1">IFERROR(__xludf.DUMMYFUNCTION("""COMPUTED_VALUE"""),"Lipaza")</f>
        <v>Lipaza</v>
      </c>
      <c r="B21" s="50" t="s">
        <v>35</v>
      </c>
      <c r="C21" s="50" t="s">
        <v>44</v>
      </c>
      <c r="D21" s="50" t="s">
        <v>37</v>
      </c>
      <c r="E21" s="50" t="s">
        <v>42</v>
      </c>
      <c r="F21" s="51" t="s">
        <v>45</v>
      </c>
      <c r="G21" s="52" t="s">
        <v>40</v>
      </c>
    </row>
    <row r="22" spans="1:7" ht="20.100000000000001" customHeight="1">
      <c r="A22" s="45" t="str">
        <f ca="1">IFERROR(__xludf.DUMMYFUNCTION("""COMPUTED_VALUE"""),"Qammaqlütamiltransferaza (QQT)")</f>
        <v>Qammaqlütamiltransferaza (QQT)</v>
      </c>
      <c r="B22" s="46" t="s">
        <v>35</v>
      </c>
      <c r="C22" s="46" t="s">
        <v>44</v>
      </c>
      <c r="D22" s="46" t="s">
        <v>37</v>
      </c>
      <c r="E22" s="46" t="s">
        <v>42</v>
      </c>
      <c r="F22" s="47" t="s">
        <v>45</v>
      </c>
      <c r="G22" s="48" t="s">
        <v>40</v>
      </c>
    </row>
    <row r="23" spans="1:7" ht="20.100000000000001" customHeight="1">
      <c r="A23" s="49" t="str">
        <f ca="1">IFERROR(__xludf.DUMMYFUNCTION("""COMPUTED_VALUE"""),"Qələvi fosfataza-(ALP)")</f>
        <v>Qələvi fosfataza-(ALP)</v>
      </c>
      <c r="B23" s="50" t="s">
        <v>35</v>
      </c>
      <c r="C23" s="50" t="s">
        <v>44</v>
      </c>
      <c r="D23" s="50" t="s">
        <v>37</v>
      </c>
      <c r="E23" s="50" t="s">
        <v>42</v>
      </c>
      <c r="F23" s="51" t="s">
        <v>45</v>
      </c>
      <c r="G23" s="52" t="s">
        <v>40</v>
      </c>
    </row>
    <row r="24" spans="1:7" ht="20.100000000000001" customHeight="1">
      <c r="A24" s="45" t="str">
        <f ca="1">IFERROR(__xludf.DUMMYFUNCTION("""COMPUTED_VALUE"""),"Xolinesteraza")</f>
        <v>Xolinesteraza</v>
      </c>
      <c r="B24" s="46" t="s">
        <v>35</v>
      </c>
      <c r="C24" s="46" t="s">
        <v>44</v>
      </c>
      <c r="D24" s="46" t="s">
        <v>37</v>
      </c>
      <c r="E24" s="46" t="s">
        <v>42</v>
      </c>
      <c r="F24" s="47" t="s">
        <v>45</v>
      </c>
      <c r="G24" s="48" t="s">
        <v>40</v>
      </c>
    </row>
    <row r="25" spans="1:7" ht="20.100000000000001" customHeight="1">
      <c r="A25" s="42" t="s">
        <v>13</v>
      </c>
      <c r="B25" s="50"/>
      <c r="C25" s="50"/>
      <c r="D25" s="50"/>
      <c r="E25" s="50"/>
      <c r="F25" s="51"/>
      <c r="G25" s="52"/>
    </row>
    <row r="26" spans="1:7" ht="20.100000000000001" customHeight="1">
      <c r="A26" s="45" t="str">
        <f ca="1">IFERROR(__xludf.DUMMYFUNCTION("""COMPUTED_VALUE"""),"Aşağı sıxlıqlı lipoproteidlər (LDL)")</f>
        <v>Aşağı sıxlıqlı lipoproteidlər (LDL)</v>
      </c>
      <c r="B26" s="46" t="s">
        <v>35</v>
      </c>
      <c r="C26" s="46" t="s">
        <v>44</v>
      </c>
      <c r="D26" s="46" t="s">
        <v>37</v>
      </c>
      <c r="E26" s="46" t="s">
        <v>42</v>
      </c>
      <c r="F26" s="47" t="s">
        <v>45</v>
      </c>
      <c r="G26" s="48" t="s">
        <v>40</v>
      </c>
    </row>
    <row r="27" spans="1:7" ht="20.100000000000001" customHeight="1">
      <c r="A27" s="49" t="str">
        <f ca="1">IFERROR(__xludf.DUMMYFUNCTION("""COMPUTED_VALUE"""),"Triqliseridlər")</f>
        <v>Triqliseridlər</v>
      </c>
      <c r="B27" s="50" t="s">
        <v>35</v>
      </c>
      <c r="C27" s="50" t="s">
        <v>44</v>
      </c>
      <c r="D27" s="50" t="s">
        <v>37</v>
      </c>
      <c r="E27" s="50" t="s">
        <v>42</v>
      </c>
      <c r="F27" s="51" t="s">
        <v>45</v>
      </c>
      <c r="G27" s="52" t="s">
        <v>40</v>
      </c>
    </row>
    <row r="28" spans="1:7" ht="20.100000000000001" customHeight="1">
      <c r="A28" s="45" t="str">
        <f ca="1">IFERROR(__xludf.DUMMYFUNCTION("""COMPUTED_VALUE"""),"Xolesterin")</f>
        <v>Xolesterin</v>
      </c>
      <c r="B28" s="46" t="s">
        <v>35</v>
      </c>
      <c r="C28" s="46" t="s">
        <v>44</v>
      </c>
      <c r="D28" s="46" t="s">
        <v>37</v>
      </c>
      <c r="E28" s="46" t="s">
        <v>42</v>
      </c>
      <c r="F28" s="47" t="s">
        <v>45</v>
      </c>
      <c r="G28" s="48" t="s">
        <v>40</v>
      </c>
    </row>
    <row r="29" spans="1:7" ht="20.100000000000001" customHeight="1">
      <c r="A29" s="49" t="str">
        <f ca="1">IFERROR(__xludf.DUMMYFUNCTION("""COMPUTED_VALUE"""),"Yüksək sıxlıqlı lipoproteidlər (HDL)")</f>
        <v>Yüksək sıxlıqlı lipoproteidlər (HDL)</v>
      </c>
      <c r="B29" s="50" t="s">
        <v>35</v>
      </c>
      <c r="C29" s="50" t="s">
        <v>44</v>
      </c>
      <c r="D29" s="50" t="s">
        <v>37</v>
      </c>
      <c r="E29" s="50" t="s">
        <v>42</v>
      </c>
      <c r="F29" s="51" t="s">
        <v>45</v>
      </c>
      <c r="G29" s="52" t="s">
        <v>40</v>
      </c>
    </row>
    <row r="30" spans="1:7" ht="20.100000000000001" customHeight="1">
      <c r="A30" s="45" t="str">
        <f ca="1">IFERROR(__xludf.DUMMYFUNCTION("""COMPUTED_VALUE"""),"Çok Aşağı Sıxlıklı Lipoproteidler(VLDL)")</f>
        <v>Çok Aşağı Sıxlıklı Lipoproteidler(VLDL)</v>
      </c>
      <c r="B30" s="46" t="s">
        <v>35</v>
      </c>
      <c r="C30" s="46" t="s">
        <v>44</v>
      </c>
      <c r="D30" s="46" t="s">
        <v>37</v>
      </c>
      <c r="E30" s="46" t="s">
        <v>42</v>
      </c>
      <c r="F30" s="47" t="s">
        <v>49</v>
      </c>
      <c r="G30" s="48" t="s">
        <v>49</v>
      </c>
    </row>
    <row r="31" spans="1:7" ht="20.100000000000001" customHeight="1">
      <c r="A31" s="42" t="s">
        <v>14</v>
      </c>
      <c r="B31" s="50"/>
      <c r="C31" s="50"/>
      <c r="D31" s="50"/>
      <c r="E31" s="50"/>
      <c r="F31" s="51"/>
      <c r="G31" s="52"/>
    </row>
    <row r="32" spans="1:7" ht="20.100000000000001" customHeight="1">
      <c r="A32" s="45" t="str">
        <f ca="1">IFERROR(__xludf.DUMMYFUNCTION("""COMPUTED_VALUE"""),"Dəmir (Fe) qan")</f>
        <v>Dəmir (Fe) qan</v>
      </c>
      <c r="B32" s="46" t="s">
        <v>35</v>
      </c>
      <c r="C32" s="46" t="s">
        <v>44</v>
      </c>
      <c r="D32" s="46" t="s">
        <v>37</v>
      </c>
      <c r="E32" s="46" t="s">
        <v>42</v>
      </c>
      <c r="F32" s="47" t="s">
        <v>45</v>
      </c>
      <c r="G32" s="48" t="s">
        <v>40</v>
      </c>
    </row>
    <row r="33" spans="1:7" ht="20.100000000000001" customHeight="1">
      <c r="A33" s="49" t="str">
        <f ca="1">IFERROR(__xludf.DUMMYFUNCTION("""COMPUTED_VALUE"""),"Dəmir bağlayıcı xüsusiyyət TİBC")</f>
        <v>Dəmir bağlayıcı xüsusiyyət TİBC</v>
      </c>
      <c r="B33" s="50" t="s">
        <v>35</v>
      </c>
      <c r="C33" s="50" t="s">
        <v>44</v>
      </c>
      <c r="D33" s="50" t="s">
        <v>37</v>
      </c>
      <c r="E33" s="50" t="s">
        <v>42</v>
      </c>
      <c r="F33" s="51" t="s">
        <v>45</v>
      </c>
      <c r="G33" s="52" t="s">
        <v>40</v>
      </c>
    </row>
    <row r="34" spans="1:7" ht="30" customHeight="1">
      <c r="A34" s="45" t="str">
        <f ca="1">IFERROR(__xludf.DUMMYFUNCTION("""COMPUTED_VALUE"""),"Fosfor (P) qan")</f>
        <v>Fosfor (P) qan</v>
      </c>
      <c r="B34" s="46" t="s">
        <v>35</v>
      </c>
      <c r="C34" s="46" t="s">
        <v>44</v>
      </c>
      <c r="D34" s="46" t="s">
        <v>37</v>
      </c>
      <c r="E34" s="46" t="s">
        <v>42</v>
      </c>
      <c r="F34" s="47" t="s">
        <v>45</v>
      </c>
      <c r="G34" s="48" t="s">
        <v>40</v>
      </c>
    </row>
    <row r="35" spans="1:7" ht="20.100000000000001" customHeight="1">
      <c r="A35" s="49" t="str">
        <f ca="1">IFERROR(__xludf.DUMMYFUNCTION("""COMPUTED_VALUE"""),"Kalium (K) qanda")</f>
        <v>Kalium (K) qanda</v>
      </c>
      <c r="B35" s="50" t="s">
        <v>35</v>
      </c>
      <c r="C35" s="50" t="s">
        <v>44</v>
      </c>
      <c r="D35" s="50" t="s">
        <v>37</v>
      </c>
      <c r="E35" s="50" t="s">
        <v>42</v>
      </c>
      <c r="F35" s="51" t="s">
        <v>45</v>
      </c>
      <c r="G35" s="52" t="s">
        <v>40</v>
      </c>
    </row>
    <row r="36" spans="1:7" ht="20.100000000000001" customHeight="1">
      <c r="A36" s="45" t="str">
        <f ca="1">IFERROR(__xludf.DUMMYFUNCTION("""COMPUTED_VALUE"""),"Kalsium (Ca) qanda")</f>
        <v>Kalsium (Ca) qanda</v>
      </c>
      <c r="B36" s="46" t="s">
        <v>35</v>
      </c>
      <c r="C36" s="46" t="s">
        <v>44</v>
      </c>
      <c r="D36" s="46" t="s">
        <v>37</v>
      </c>
      <c r="E36" s="46" t="s">
        <v>42</v>
      </c>
      <c r="F36" s="47" t="s">
        <v>45</v>
      </c>
      <c r="G36" s="48" t="s">
        <v>40</v>
      </c>
    </row>
    <row r="37" spans="1:7" ht="20.100000000000001" customHeight="1">
      <c r="A37" s="49" t="str">
        <f ca="1">IFERROR(__xludf.DUMMYFUNCTION("""COMPUTED_VALUE"""),"Kalsium - kreatinin nisbəti sidikdə")</f>
        <v>Kalsium - kreatinin nisbəti sidikdə</v>
      </c>
      <c r="B37" s="50" t="s">
        <v>35</v>
      </c>
      <c r="C37" s="50" t="s">
        <v>41</v>
      </c>
      <c r="D37" s="50" t="s">
        <v>37</v>
      </c>
      <c r="E37" s="50" t="s">
        <v>42</v>
      </c>
      <c r="F37" s="51" t="s">
        <v>43</v>
      </c>
      <c r="G37" s="52" t="s">
        <v>40</v>
      </c>
    </row>
    <row r="38" spans="1:7" ht="20.100000000000001" customHeight="1">
      <c r="A38" s="45" t="str">
        <f ca="1">IFERROR(__xludf.DUMMYFUNCTION("""COMPUTED_VALUE"""),"Kalsium sidikdə (sutkalıq)")</f>
        <v>Kalsium sidikdə (sutkalıq)</v>
      </c>
      <c r="B38" s="46" t="s">
        <v>35</v>
      </c>
      <c r="C38" s="46" t="s">
        <v>41</v>
      </c>
      <c r="D38" s="46" t="s">
        <v>37</v>
      </c>
      <c r="E38" s="46" t="s">
        <v>42</v>
      </c>
      <c r="F38" s="47" t="s">
        <v>50</v>
      </c>
      <c r="G38" s="48" t="s">
        <v>40</v>
      </c>
    </row>
    <row r="39" spans="1:7" ht="20.100000000000001" customHeight="1">
      <c r="A39" s="49" t="str">
        <f ca="1">IFERROR(__xludf.DUMMYFUNCTION("""COMPUTED_VALUE"""),"Maqnezium (Mg) qanda")</f>
        <v>Maqnezium (Mg) qanda</v>
      </c>
      <c r="B39" s="50" t="s">
        <v>35</v>
      </c>
      <c r="C39" s="50" t="s">
        <v>44</v>
      </c>
      <c r="D39" s="50" t="s">
        <v>37</v>
      </c>
      <c r="E39" s="50" t="s">
        <v>42</v>
      </c>
      <c r="F39" s="51" t="s">
        <v>45</v>
      </c>
      <c r="G39" s="52" t="s">
        <v>40</v>
      </c>
    </row>
    <row r="40" spans="1:7" ht="20.100000000000001" customHeight="1">
      <c r="A40" s="45" t="str">
        <f ca="1">IFERROR(__xludf.DUMMYFUNCTION("""COMPUTED_VALUE"""),"Natrium qanda")</f>
        <v>Natrium qanda</v>
      </c>
      <c r="B40" s="46" t="s">
        <v>35</v>
      </c>
      <c r="C40" s="46" t="s">
        <v>44</v>
      </c>
      <c r="D40" s="46" t="s">
        <v>37</v>
      </c>
      <c r="E40" s="46" t="s">
        <v>42</v>
      </c>
      <c r="F40" s="47" t="s">
        <v>45</v>
      </c>
      <c r="G40" s="48" t="s">
        <v>40</v>
      </c>
    </row>
    <row r="41" spans="1:7" ht="20.100000000000001" customHeight="1">
      <c r="A41" s="49" t="str">
        <f ca="1">IFERROR(__xludf.DUMMYFUNCTION("""COMPUTED_VALUE"""),"Xlor qanda")</f>
        <v>Xlor qanda</v>
      </c>
      <c r="B41" s="50" t="s">
        <v>35</v>
      </c>
      <c r="C41" s="50" t="s">
        <v>44</v>
      </c>
      <c r="D41" s="50" t="s">
        <v>37</v>
      </c>
      <c r="E41" s="50" t="s">
        <v>42</v>
      </c>
      <c r="F41" s="51" t="s">
        <v>45</v>
      </c>
      <c r="G41" s="52" t="s">
        <v>40</v>
      </c>
    </row>
    <row r="42" spans="1:7" ht="20.100000000000001" customHeight="1">
      <c r="A42" s="53" t="s">
        <v>15</v>
      </c>
      <c r="B42" s="46"/>
      <c r="C42" s="46"/>
      <c r="D42" s="46"/>
      <c r="E42" s="46"/>
      <c r="F42" s="47"/>
      <c r="G42" s="48"/>
    </row>
    <row r="43" spans="1:7" ht="20.100000000000001" customHeight="1">
      <c r="A43" s="49" t="str">
        <f ca="1">IFERROR(__xludf.DUMMYFUNCTION("""COMPUTED_VALUE"""),"Kalsium sidikdə (birdəfəlik sidik)")</f>
        <v>Kalsium sidikdə (birdəfəlik sidik)</v>
      </c>
      <c r="B43" s="50" t="s">
        <v>35</v>
      </c>
      <c r="C43" s="50" t="s">
        <v>41</v>
      </c>
      <c r="D43" s="50" t="s">
        <v>37</v>
      </c>
      <c r="E43" s="50" t="s">
        <v>42</v>
      </c>
      <c r="F43" s="51" t="s">
        <v>51</v>
      </c>
      <c r="G43" s="52" t="s">
        <v>40</v>
      </c>
    </row>
    <row r="44" spans="1:7" ht="20.100000000000001" customHeight="1">
      <c r="A44" s="45" t="str">
        <f ca="1">IFERROR(__xludf.DUMMYFUNCTION("""COMPUTED_VALUE"""),"Sidik turşusu (URİC) qanda")</f>
        <v>Sidik turşusu (URİC) qanda</v>
      </c>
      <c r="B44" s="46" t="s">
        <v>35</v>
      </c>
      <c r="C44" s="46" t="s">
        <v>44</v>
      </c>
      <c r="D44" s="46" t="s">
        <v>37</v>
      </c>
      <c r="E44" s="46" t="s">
        <v>42</v>
      </c>
      <c r="F44" s="47" t="s">
        <v>45</v>
      </c>
      <c r="G44" s="48" t="s">
        <v>40</v>
      </c>
    </row>
    <row r="45" spans="1:7" ht="20.100000000000001" customHeight="1">
      <c r="A45" s="49" t="str">
        <f ca="1">IFERROR(__xludf.DUMMYFUNCTION("""COMPUTED_VALUE"""),"Sidik turşusu (URİC) sidikdə (sutkalıq)")</f>
        <v>Sidik turşusu (URİC) sidikdə (sutkalıq)</v>
      </c>
      <c r="B45" s="50" t="s">
        <v>35</v>
      </c>
      <c r="C45" s="50" t="s">
        <v>41</v>
      </c>
      <c r="D45" s="50" t="s">
        <v>37</v>
      </c>
      <c r="E45" s="50" t="s">
        <v>42</v>
      </c>
      <c r="F45" s="51" t="s">
        <v>43</v>
      </c>
      <c r="G45" s="52" t="s">
        <v>40</v>
      </c>
    </row>
    <row r="46" spans="1:7" ht="20.100000000000001" customHeight="1">
      <c r="A46" s="45" t="str">
        <f ca="1">IFERROR(__xludf.DUMMYFUNCTION("""COMPUTED_VALUE"""),"Kreatinin sidikdə(sutkalıq)")</f>
        <v>Kreatinin sidikdə(sutkalıq)</v>
      </c>
      <c r="B46" s="46" t="s">
        <v>35</v>
      </c>
      <c r="C46" s="46" t="s">
        <v>41</v>
      </c>
      <c r="D46" s="46" t="s">
        <v>37</v>
      </c>
      <c r="E46" s="46" t="s">
        <v>42</v>
      </c>
      <c r="F46" s="47" t="s">
        <v>51</v>
      </c>
      <c r="G46" s="48" t="s">
        <v>40</v>
      </c>
    </row>
    <row r="47" spans="1:7" ht="20.100000000000001" customHeight="1">
      <c r="A47" s="49" t="str">
        <f ca="1">IFERROR(__xludf.DUMMYFUNCTION("""COMPUTED_VALUE"""),"Kreatinin sidikdə(sutkalıq)")</f>
        <v>Kreatinin sidikdə(sutkalıq)</v>
      </c>
      <c r="B47" s="50" t="s">
        <v>35</v>
      </c>
      <c r="C47" s="54" t="s">
        <v>41</v>
      </c>
      <c r="D47" s="50" t="s">
        <v>37</v>
      </c>
      <c r="E47" s="50" t="s">
        <v>42</v>
      </c>
      <c r="F47" s="51" t="s">
        <v>51</v>
      </c>
      <c r="G47" s="52" t="s">
        <v>40</v>
      </c>
    </row>
    <row r="48" spans="1:7" ht="20.100000000000001" customHeight="1">
      <c r="A48" s="45" t="str">
        <f ca="1">IFERROR(__xludf.DUMMYFUNCTION("""COMPUTED_VALUE"""),"Qalıq azot (sidik cövhəri azotu) BUN")</f>
        <v>Qalıq azot (sidik cövhəri azotu) BUN</v>
      </c>
      <c r="B48" s="46" t="s">
        <v>35</v>
      </c>
      <c r="C48" s="46" t="s">
        <v>44</v>
      </c>
      <c r="D48" s="46" t="s">
        <v>37</v>
      </c>
      <c r="E48" s="46" t="s">
        <v>42</v>
      </c>
      <c r="F48" s="47" t="s">
        <v>45</v>
      </c>
      <c r="G48" s="48" t="s">
        <v>40</v>
      </c>
    </row>
    <row r="49" spans="1:7" ht="20.100000000000001" customHeight="1">
      <c r="A49" s="49" t="str">
        <f ca="1">IFERROR(__xludf.DUMMYFUNCTION("""COMPUTED_VALUE"""),"Sidik cövhəri (UREA) qanda")</f>
        <v>Sidik cövhəri (UREA) qanda</v>
      </c>
      <c r="B49" s="50" t="s">
        <v>35</v>
      </c>
      <c r="C49" s="50" t="s">
        <v>44</v>
      </c>
      <c r="D49" s="50" t="s">
        <v>37</v>
      </c>
      <c r="E49" s="50" t="s">
        <v>42</v>
      </c>
      <c r="F49" s="51" t="s">
        <v>45</v>
      </c>
      <c r="G49" s="52" t="s">
        <v>40</v>
      </c>
    </row>
    <row r="50" spans="1:7" ht="20.100000000000001" customHeight="1">
      <c r="A50" s="45" t="str">
        <f ca="1">IFERROR(__xludf.DUMMYFUNCTION("""COMPUTED_VALUE"""),"Sidik cövhəri (UREA) sidikdə (sutkalıq)")</f>
        <v>Sidik cövhəri (UREA) sidikdə (sutkalıq)</v>
      </c>
      <c r="B50" s="46" t="s">
        <v>35</v>
      </c>
      <c r="C50" s="46" t="s">
        <v>41</v>
      </c>
      <c r="D50" s="46" t="s">
        <v>37</v>
      </c>
      <c r="E50" s="46" t="s">
        <v>42</v>
      </c>
      <c r="F50" s="47" t="s">
        <v>43</v>
      </c>
      <c r="G50" s="48" t="s">
        <v>40</v>
      </c>
    </row>
    <row r="51" spans="1:7" ht="20.100000000000001" customHeight="1">
      <c r="A51" s="42" t="s">
        <v>16</v>
      </c>
      <c r="B51" s="50"/>
      <c r="C51" s="50"/>
      <c r="D51" s="50"/>
      <c r="E51" s="50"/>
      <c r="F51" s="51"/>
      <c r="G51" s="52"/>
    </row>
    <row r="52" spans="1:7" ht="20.100000000000001" customHeight="1">
      <c r="A52" s="45" t="str">
        <f ca="1">IFERROR(__xludf.DUMMYFUNCTION("""COMPUTED_VALUE"""),"Düz bilirubin (direct ,birləşmiş)")</f>
        <v>Düz bilirubin (direct ,birləşmiş)</v>
      </c>
      <c r="B52" s="46" t="s">
        <v>35</v>
      </c>
      <c r="C52" s="46" t="s">
        <v>44</v>
      </c>
      <c r="D52" s="46" t="s">
        <v>37</v>
      </c>
      <c r="E52" s="46" t="s">
        <v>42</v>
      </c>
      <c r="F52" s="47" t="s">
        <v>45</v>
      </c>
      <c r="G52" s="48" t="s">
        <v>40</v>
      </c>
    </row>
    <row r="53" spans="1:7" ht="20.100000000000001" customHeight="1">
      <c r="A53" s="49" t="str">
        <f ca="1">IFERROR(__xludf.DUMMYFUNCTION("""COMPUTED_VALUE"""),"Qeyri düz bilirubin (konyuqə olunmamış, sərbəst)")</f>
        <v>Qeyri düz bilirubin (konyuqə olunmamış, sərbəst)</v>
      </c>
      <c r="B53" s="50" t="s">
        <v>35</v>
      </c>
      <c r="C53" s="50" t="s">
        <v>44</v>
      </c>
      <c r="D53" s="50" t="s">
        <v>37</v>
      </c>
      <c r="E53" s="50" t="s">
        <v>42</v>
      </c>
      <c r="F53" s="51" t="s">
        <v>45</v>
      </c>
      <c r="G53" s="52" t="s">
        <v>40</v>
      </c>
    </row>
    <row r="54" spans="1:7" ht="20.100000000000001" customHeight="1">
      <c r="A54" s="45" t="str">
        <f ca="1">IFERROR(__xludf.DUMMYFUNCTION("""COMPUTED_VALUE"""),"Ümumi bilirubin")</f>
        <v>Ümumi bilirubin</v>
      </c>
      <c r="B54" s="46" t="s">
        <v>35</v>
      </c>
      <c r="C54" s="46" t="s">
        <v>44</v>
      </c>
      <c r="D54" s="46" t="s">
        <v>37</v>
      </c>
      <c r="E54" s="46" t="s">
        <v>42</v>
      </c>
      <c r="F54" s="47" t="s">
        <v>45</v>
      </c>
      <c r="G54" s="48" t="s">
        <v>40</v>
      </c>
    </row>
    <row r="55" spans="1:7" ht="20.100000000000001" customHeight="1">
      <c r="A55" s="42" t="s">
        <v>17</v>
      </c>
      <c r="B55" s="50"/>
      <c r="C55" s="50"/>
      <c r="D55" s="50"/>
      <c r="E55" s="50"/>
      <c r="F55" s="51"/>
      <c r="G55" s="52"/>
    </row>
    <row r="56" spans="1:7" ht="20.100000000000001" customHeight="1">
      <c r="A56" s="45" t="str">
        <f ca="1">IFERROR(__xludf.DUMMYFUNCTION("""COMPUTED_VALUE"""),"Albumin(alb)")</f>
        <v>Albumin(alb)</v>
      </c>
      <c r="B56" s="46" t="s">
        <v>35</v>
      </c>
      <c r="C56" s="46" t="s">
        <v>44</v>
      </c>
      <c r="D56" s="46" t="s">
        <v>37</v>
      </c>
      <c r="E56" s="46" t="s">
        <v>42</v>
      </c>
      <c r="F56" s="47" t="s">
        <v>45</v>
      </c>
      <c r="G56" s="48" t="s">
        <v>40</v>
      </c>
    </row>
    <row r="57" spans="1:7" ht="20.100000000000001" customHeight="1">
      <c r="A57" s="49" t="str">
        <f ca="1">IFERROR(__xludf.DUMMYFUNCTION("""COMPUTED_VALUE"""),"İmmunoqlobulin E")</f>
        <v>İmmunoqlobulin E</v>
      </c>
      <c r="B57" s="50" t="s">
        <v>52</v>
      </c>
      <c r="C57" s="50" t="s">
        <v>44</v>
      </c>
      <c r="D57" s="50" t="s">
        <v>37</v>
      </c>
      <c r="E57" s="50" t="s">
        <v>38</v>
      </c>
      <c r="F57" s="51" t="s">
        <v>45</v>
      </c>
      <c r="G57" s="52" t="s">
        <v>40</v>
      </c>
    </row>
    <row r="58" spans="1:7" ht="20.100000000000001" customHeight="1">
      <c r="A58" s="45" t="str">
        <f ca="1">IFERROR(__xludf.DUMMYFUNCTION("""COMPUTED_VALUE"""),"Mikroalbumin (sutkalıq sidikdə)")</f>
        <v>Mikroalbumin (sutkalıq sidikdə)</v>
      </c>
      <c r="B58" s="46" t="s">
        <v>35</v>
      </c>
      <c r="C58" s="46" t="s">
        <v>41</v>
      </c>
      <c r="D58" s="46" t="s">
        <v>37</v>
      </c>
      <c r="E58" s="46" t="s">
        <v>42</v>
      </c>
      <c r="F58" s="47" t="s">
        <v>43</v>
      </c>
      <c r="G58" s="48" t="s">
        <v>40</v>
      </c>
    </row>
    <row r="59" spans="1:7" ht="20.100000000000001" customHeight="1">
      <c r="A59" s="49" t="str">
        <f ca="1">IFERROR(__xludf.DUMMYFUNCTION("""COMPUTED_VALUE"""),"Zülal Sutkalıq sidikdə")</f>
        <v>Zülal Sutkalıq sidikdə</v>
      </c>
      <c r="B59" s="50" t="s">
        <v>35</v>
      </c>
      <c r="C59" s="50" t="s">
        <v>41</v>
      </c>
      <c r="D59" s="50" t="s">
        <v>37</v>
      </c>
      <c r="E59" s="50" t="s">
        <v>42</v>
      </c>
      <c r="F59" s="51" t="s">
        <v>43</v>
      </c>
      <c r="G59" s="52" t="s">
        <v>40</v>
      </c>
    </row>
    <row r="60" spans="1:7" ht="20.100000000000001" customHeight="1">
      <c r="A60" s="45" t="str">
        <f ca="1">IFERROR(__xludf.DUMMYFUNCTION("""COMPUTED_VALUE"""),"Ümumi zülal(protein)")</f>
        <v>Ümumi zülal(protein)</v>
      </c>
      <c r="B60" s="46" t="s">
        <v>35</v>
      </c>
      <c r="C60" s="46" t="s">
        <v>44</v>
      </c>
      <c r="D60" s="46" t="s">
        <v>37</v>
      </c>
      <c r="E60" s="46" t="s">
        <v>42</v>
      </c>
      <c r="F60" s="47" t="s">
        <v>45</v>
      </c>
      <c r="G60" s="48" t="s">
        <v>40</v>
      </c>
    </row>
    <row r="61" spans="1:7" ht="20.100000000000001" customHeight="1">
      <c r="A61" s="42" t="s">
        <v>18</v>
      </c>
      <c r="B61" s="50"/>
      <c r="C61" s="50"/>
      <c r="D61" s="50"/>
      <c r="E61" s="50"/>
      <c r="F61" s="51"/>
      <c r="G61" s="52"/>
    </row>
    <row r="62" spans="1:7" ht="20.100000000000001" customHeight="1">
      <c r="A62" s="45" t="str">
        <f ca="1">IFERROR(__xludf.DUMMYFUNCTION("""COMPUTED_VALUE"""),"Dəmir (Fe) qan")</f>
        <v>Dəmir (Fe) qan</v>
      </c>
      <c r="B62" s="46" t="s">
        <v>35</v>
      </c>
      <c r="C62" s="46" t="s">
        <v>44</v>
      </c>
      <c r="D62" s="46" t="s">
        <v>37</v>
      </c>
      <c r="E62" s="46" t="s">
        <v>42</v>
      </c>
      <c r="F62" s="47" t="s">
        <v>45</v>
      </c>
      <c r="G62" s="48" t="s">
        <v>40</v>
      </c>
    </row>
    <row r="63" spans="1:7" ht="20.100000000000001" customHeight="1">
      <c r="A63" s="55" t="str">
        <f ca="1">IFERROR(__xludf.DUMMYFUNCTION("""COMPUTED_VALUE"""),"Ferritin")</f>
        <v>Ferritin</v>
      </c>
      <c r="B63" s="50" t="s">
        <v>52</v>
      </c>
      <c r="C63" s="50" t="s">
        <v>44</v>
      </c>
      <c r="D63" s="50" t="s">
        <v>37</v>
      </c>
      <c r="E63" s="50" t="s">
        <v>38</v>
      </c>
      <c r="F63" s="51" t="s">
        <v>45</v>
      </c>
      <c r="G63" s="52" t="s">
        <v>40</v>
      </c>
    </row>
    <row r="64" spans="1:7" ht="20.100000000000001" customHeight="1">
      <c r="A64" s="53" t="s">
        <v>19</v>
      </c>
      <c r="B64" s="46"/>
      <c r="C64" s="46"/>
      <c r="D64" s="46"/>
      <c r="E64" s="46"/>
      <c r="F64" s="47"/>
      <c r="G64" s="48"/>
    </row>
    <row r="65" spans="1:7" ht="20.100000000000001" customHeight="1">
      <c r="A65" s="49" t="str">
        <f ca="1">IFERROR(__xludf.DUMMYFUNCTION("""COMPUTED_VALUE"""),"Testosteron")</f>
        <v>Testosteron</v>
      </c>
      <c r="B65" s="50" t="s">
        <v>52</v>
      </c>
      <c r="C65" s="50" t="s">
        <v>44</v>
      </c>
      <c r="D65" s="50" t="s">
        <v>37</v>
      </c>
      <c r="E65" s="50" t="s">
        <v>38</v>
      </c>
      <c r="F65" s="51" t="s">
        <v>45</v>
      </c>
      <c r="G65" s="52" t="s">
        <v>40</v>
      </c>
    </row>
    <row r="66" spans="1:7" ht="20.100000000000001" customHeight="1">
      <c r="A66" s="45" t="str">
        <f ca="1">IFERROR(__xludf.DUMMYFUNCTION("""COMPUTED_VALUE"""),"Antimüller hormonu (AMH)")</f>
        <v>Antimüller hormonu (AMH)</v>
      </c>
      <c r="B66" s="46" t="s">
        <v>52</v>
      </c>
      <c r="C66" s="46" t="s">
        <v>44</v>
      </c>
      <c r="D66" s="46" t="s">
        <v>37</v>
      </c>
      <c r="E66" s="46" t="s">
        <v>38</v>
      </c>
      <c r="F66" s="47" t="s">
        <v>48</v>
      </c>
      <c r="G66" s="48" t="s">
        <v>40</v>
      </c>
    </row>
    <row r="67" spans="1:7" ht="20.100000000000001" customHeight="1">
      <c r="A67" s="49" t="str">
        <f ca="1">IFERROR(__xludf.DUMMYFUNCTION("""COMPUTED_VALUE"""),"B-xorionik qonadotropin")</f>
        <v>B-xorionik qonadotropin</v>
      </c>
      <c r="B67" s="50" t="s">
        <v>52</v>
      </c>
      <c r="C67" s="50" t="s">
        <v>44</v>
      </c>
      <c r="D67" s="50" t="s">
        <v>37</v>
      </c>
      <c r="E67" s="50" t="s">
        <v>38</v>
      </c>
      <c r="F67" s="51" t="s">
        <v>45</v>
      </c>
      <c r="G67" s="52" t="s">
        <v>40</v>
      </c>
    </row>
    <row r="68" spans="1:7" ht="20.100000000000001" customHeight="1">
      <c r="A68" s="45" t="str">
        <f ca="1">IFERROR(__xludf.DUMMYFUNCTION("""COMPUTED_VALUE"""),"DHEA-SO4 dehidroepiandrosterosulfat")</f>
        <v>DHEA-SO4 dehidroepiandrosterosulfat</v>
      </c>
      <c r="B68" s="46" t="s">
        <v>52</v>
      </c>
      <c r="C68" s="46" t="s">
        <v>44</v>
      </c>
      <c r="D68" s="46" t="s">
        <v>37</v>
      </c>
      <c r="E68" s="46" t="s">
        <v>38</v>
      </c>
      <c r="F68" s="47" t="s">
        <v>45</v>
      </c>
      <c r="G68" s="48" t="s">
        <v>40</v>
      </c>
    </row>
    <row r="69" spans="1:7" ht="20.100000000000001" customHeight="1">
      <c r="A69" s="49" t="str">
        <f ca="1">IFERROR(__xludf.DUMMYFUNCTION("""COMPUTED_VALUE"""),"Estradiol (E2)")</f>
        <v>Estradiol (E2)</v>
      </c>
      <c r="B69" s="50" t="s">
        <v>52</v>
      </c>
      <c r="C69" s="50" t="s">
        <v>44</v>
      </c>
      <c r="D69" s="50" t="s">
        <v>37</v>
      </c>
      <c r="E69" s="50" t="s">
        <v>38</v>
      </c>
      <c r="F69" s="51" t="s">
        <v>45</v>
      </c>
      <c r="G69" s="52" t="s">
        <v>40</v>
      </c>
    </row>
    <row r="70" spans="1:7" ht="20.100000000000001" customHeight="1">
      <c r="A70" s="45" t="str">
        <f ca="1">IFERROR(__xludf.DUMMYFUNCTION("""COMPUTED_VALUE"""),"FSH (follikulstimullaşdırıcı)")</f>
        <v>FSH (follikulstimullaşdırıcı)</v>
      </c>
      <c r="B70" s="46" t="s">
        <v>52</v>
      </c>
      <c r="C70" s="46" t="s">
        <v>44</v>
      </c>
      <c r="D70" s="46" t="s">
        <v>37</v>
      </c>
      <c r="E70" s="46" t="s">
        <v>38</v>
      </c>
      <c r="F70" s="47" t="s">
        <v>45</v>
      </c>
      <c r="G70" s="48" t="s">
        <v>40</v>
      </c>
    </row>
    <row r="71" spans="1:7" ht="20.100000000000001" customHeight="1">
      <c r="A71" s="49" t="str">
        <f ca="1">IFERROR(__xludf.DUMMYFUNCTION("""COMPUTED_VALUE"""),"LH (lüteinləşdirici hormon)")</f>
        <v>LH (lüteinləşdirici hormon)</v>
      </c>
      <c r="B71" s="50" t="s">
        <v>52</v>
      </c>
      <c r="C71" s="50" t="s">
        <v>44</v>
      </c>
      <c r="D71" s="50" t="s">
        <v>37</v>
      </c>
      <c r="E71" s="50" t="s">
        <v>38</v>
      </c>
      <c r="F71" s="51" t="s">
        <v>45</v>
      </c>
      <c r="G71" s="52" t="s">
        <v>40</v>
      </c>
    </row>
    <row r="72" spans="1:7" ht="20.100000000000001" customHeight="1">
      <c r="A72" s="45" t="str">
        <f ca="1">IFERROR(__xludf.DUMMYFUNCTION("""COMPUTED_VALUE"""),"Progesteron")</f>
        <v>Progesteron</v>
      </c>
      <c r="B72" s="46" t="s">
        <v>52</v>
      </c>
      <c r="C72" s="46" t="s">
        <v>44</v>
      </c>
      <c r="D72" s="46" t="s">
        <v>37</v>
      </c>
      <c r="E72" s="46" t="s">
        <v>38</v>
      </c>
      <c r="F72" s="47" t="s">
        <v>45</v>
      </c>
      <c r="G72" s="48" t="s">
        <v>40</v>
      </c>
    </row>
    <row r="73" spans="1:7" ht="20.100000000000001" customHeight="1">
      <c r="A73" s="49" t="str">
        <f ca="1">IFERROR(__xludf.DUMMYFUNCTION("""COMPUTED_VALUE"""),"Prolaktin")</f>
        <v>Prolaktin</v>
      </c>
      <c r="B73" s="50" t="s">
        <v>52</v>
      </c>
      <c r="C73" s="50" t="s">
        <v>44</v>
      </c>
      <c r="D73" s="50" t="s">
        <v>37</v>
      </c>
      <c r="E73" s="50" t="s">
        <v>38</v>
      </c>
      <c r="F73" s="51" t="s">
        <v>45</v>
      </c>
      <c r="G73" s="52" t="s">
        <v>40</v>
      </c>
    </row>
    <row r="74" spans="1:7" ht="20.100000000000001" customHeight="1">
      <c r="A74" s="53" t="s">
        <v>20</v>
      </c>
      <c r="B74" s="46"/>
      <c r="C74" s="46"/>
      <c r="D74" s="46"/>
      <c r="E74" s="46"/>
      <c r="F74" s="47"/>
      <c r="G74" s="48"/>
    </row>
    <row r="75" spans="1:7" ht="20.100000000000001" customHeight="1">
      <c r="A75" s="72" t="s">
        <v>118</v>
      </c>
      <c r="B75" s="50" t="s">
        <v>52</v>
      </c>
      <c r="C75" s="50" t="s">
        <v>53</v>
      </c>
      <c r="D75" s="50" t="s">
        <v>37</v>
      </c>
      <c r="E75" s="50" t="s">
        <v>38</v>
      </c>
      <c r="F75" s="51" t="s">
        <v>45</v>
      </c>
      <c r="G75" s="48"/>
    </row>
    <row r="76" spans="1:7" ht="20.100000000000001" customHeight="1">
      <c r="A76" s="49" t="str">
        <f ca="1">IFERROR(__xludf.DUMMYFUNCTION("""COMPUTED_VALUE"""),"Kortizol")</f>
        <v>Kortizol</v>
      </c>
      <c r="B76" s="50" t="s">
        <v>52</v>
      </c>
      <c r="C76" s="50" t="s">
        <v>44</v>
      </c>
      <c r="D76" s="50" t="s">
        <v>37</v>
      </c>
      <c r="E76" s="50" t="s">
        <v>38</v>
      </c>
      <c r="F76" s="51" t="s">
        <v>45</v>
      </c>
      <c r="G76" s="52" t="s">
        <v>40</v>
      </c>
    </row>
    <row r="77" spans="1:7" ht="20.100000000000001" customHeight="1">
      <c r="A77" s="53" t="s">
        <v>21</v>
      </c>
      <c r="B77" s="46"/>
      <c r="C77" s="46"/>
      <c r="D77" s="46"/>
      <c r="E77" s="46"/>
      <c r="F77" s="47"/>
      <c r="G77" s="48"/>
    </row>
    <row r="78" spans="1:7" ht="20.100000000000001" customHeight="1">
      <c r="A78" s="49" t="str">
        <f ca="1">IFERROR(__xludf.DUMMYFUNCTION("""COMPUTED_VALUE"""),"Anti-TG")</f>
        <v>Anti-TG</v>
      </c>
      <c r="B78" s="50" t="s">
        <v>52</v>
      </c>
      <c r="C78" s="50" t="s">
        <v>44</v>
      </c>
      <c r="D78" s="50" t="s">
        <v>37</v>
      </c>
      <c r="E78" s="50" t="s">
        <v>38</v>
      </c>
      <c r="F78" s="51" t="s">
        <v>39</v>
      </c>
      <c r="G78" s="52" t="s">
        <v>40</v>
      </c>
    </row>
    <row r="79" spans="1:7" ht="20.100000000000001" customHeight="1">
      <c r="A79" s="45" t="str">
        <f ca="1">IFERROR(__xludf.DUMMYFUNCTION("""COMPUTED_VALUE"""),"Anti-TPO")</f>
        <v>Anti-TPO</v>
      </c>
      <c r="B79" s="46" t="s">
        <v>52</v>
      </c>
      <c r="C79" s="50" t="s">
        <v>44</v>
      </c>
      <c r="D79" s="46" t="s">
        <v>37</v>
      </c>
      <c r="E79" s="46" t="s">
        <v>38</v>
      </c>
      <c r="F79" s="47" t="s">
        <v>39</v>
      </c>
      <c r="G79" s="48" t="s">
        <v>40</v>
      </c>
    </row>
    <row r="80" spans="1:7" ht="20.100000000000001" customHeight="1">
      <c r="A80" s="49" t="str">
        <f ca="1">IFERROR(__xludf.DUMMYFUNCTION("""COMPUTED_VALUE"""),"İntact PTH (Parathormon)")</f>
        <v>İntact PTH (Parathormon)</v>
      </c>
      <c r="B80" s="50" t="s">
        <v>52</v>
      </c>
      <c r="C80" s="50" t="s">
        <v>44</v>
      </c>
      <c r="D80" s="50" t="s">
        <v>37</v>
      </c>
      <c r="E80" s="50" t="s">
        <v>38</v>
      </c>
      <c r="F80" s="51" t="s">
        <v>45</v>
      </c>
      <c r="G80" s="52" t="s">
        <v>40</v>
      </c>
    </row>
    <row r="81" spans="1:7" ht="20.100000000000001" customHeight="1">
      <c r="A81" s="45" t="str">
        <f ca="1">IFERROR(__xludf.DUMMYFUNCTION("""COMPUTED_VALUE"""),"Kalsitonin")</f>
        <v>Kalsitonin</v>
      </c>
      <c r="B81" s="46" t="s">
        <v>52</v>
      </c>
      <c r="C81" s="50" t="s">
        <v>44</v>
      </c>
      <c r="D81" s="46" t="s">
        <v>37</v>
      </c>
      <c r="E81" s="46" t="s">
        <v>38</v>
      </c>
      <c r="F81" s="47" t="s">
        <v>45</v>
      </c>
      <c r="G81" s="48" t="s">
        <v>40</v>
      </c>
    </row>
    <row r="82" spans="1:7" ht="20.100000000000001" customHeight="1">
      <c r="A82" s="49" t="str">
        <f ca="1">IFERROR(__xludf.DUMMYFUNCTION("""COMPUTED_VALUE"""),"Sərbəst T3")</f>
        <v>Sərbəst T3</v>
      </c>
      <c r="B82" s="50" t="s">
        <v>52</v>
      </c>
      <c r="C82" s="50" t="s">
        <v>44</v>
      </c>
      <c r="D82" s="50" t="s">
        <v>37</v>
      </c>
      <c r="E82" s="50" t="s">
        <v>38</v>
      </c>
      <c r="F82" s="51" t="s">
        <v>45</v>
      </c>
      <c r="G82" s="52" t="s">
        <v>40</v>
      </c>
    </row>
    <row r="83" spans="1:7" ht="20.100000000000001" customHeight="1">
      <c r="A83" s="45" t="str">
        <f ca="1">IFERROR(__xludf.DUMMYFUNCTION("""COMPUTED_VALUE"""),"Sərbəst T4")</f>
        <v>Sərbəst T4</v>
      </c>
      <c r="B83" s="46" t="s">
        <v>52</v>
      </c>
      <c r="C83" s="46" t="s">
        <v>44</v>
      </c>
      <c r="D83" s="46" t="s">
        <v>37</v>
      </c>
      <c r="E83" s="46" t="s">
        <v>38</v>
      </c>
      <c r="F83" s="47" t="s">
        <v>45</v>
      </c>
      <c r="G83" s="48" t="s">
        <v>54</v>
      </c>
    </row>
    <row r="84" spans="1:7" ht="20.100000000000001" customHeight="1">
      <c r="A84" s="49" t="str">
        <f ca="1">IFERROR(__xludf.DUMMYFUNCTION("""COMPUTED_VALUE"""),"T3-triyodtironin")</f>
        <v>T3-triyodtironin</v>
      </c>
      <c r="B84" s="50" t="s">
        <v>52</v>
      </c>
      <c r="C84" s="50" t="s">
        <v>44</v>
      </c>
      <c r="D84" s="50" t="s">
        <v>37</v>
      </c>
      <c r="E84" s="50" t="s">
        <v>38</v>
      </c>
      <c r="F84" s="51" t="s">
        <v>45</v>
      </c>
      <c r="G84" s="52" t="s">
        <v>40</v>
      </c>
    </row>
    <row r="85" spans="1:7" ht="20.100000000000001" customHeight="1">
      <c r="A85" s="45" t="str">
        <f ca="1">IFERROR(__xludf.DUMMYFUNCTION("""COMPUTED_VALUE"""),"T4-tiroksin")</f>
        <v>T4-tiroksin</v>
      </c>
      <c r="B85" s="46" t="s">
        <v>52</v>
      </c>
      <c r="C85" s="46" t="s">
        <v>44</v>
      </c>
      <c r="D85" s="46" t="s">
        <v>37</v>
      </c>
      <c r="E85" s="46" t="s">
        <v>38</v>
      </c>
      <c r="F85" s="47" t="s">
        <v>45</v>
      </c>
      <c r="G85" s="48" t="s">
        <v>40</v>
      </c>
    </row>
    <row r="86" spans="1:7" ht="20.100000000000001" customHeight="1">
      <c r="A86" s="49" t="str">
        <f ca="1">IFERROR(__xludf.DUMMYFUNCTION("""COMPUTED_VALUE"""),"Tireoqlobulin")</f>
        <v>Tireoqlobulin</v>
      </c>
      <c r="B86" s="50" t="s">
        <v>52</v>
      </c>
      <c r="C86" s="50" t="s">
        <v>44</v>
      </c>
      <c r="D86" s="50" t="s">
        <v>37</v>
      </c>
      <c r="E86" s="50" t="s">
        <v>38</v>
      </c>
      <c r="F86" s="51" t="s">
        <v>45</v>
      </c>
      <c r="G86" s="52" t="s">
        <v>40</v>
      </c>
    </row>
    <row r="87" spans="1:7" ht="20.100000000000001" customHeight="1">
      <c r="A87" s="45" t="str">
        <f ca="1">IFERROR(__xludf.DUMMYFUNCTION("""COMPUTED_VALUE"""),"Tiroid reseptor anticismlər (TRab)")</f>
        <v>Tiroid reseptor anticismlər (TRab)</v>
      </c>
      <c r="B87" s="46" t="s">
        <v>52</v>
      </c>
      <c r="C87" s="46" t="s">
        <v>44</v>
      </c>
      <c r="D87" s="46" t="s">
        <v>37</v>
      </c>
      <c r="E87" s="46" t="s">
        <v>38</v>
      </c>
      <c r="F87" s="47" t="s">
        <v>45</v>
      </c>
      <c r="G87" s="48" t="s">
        <v>40</v>
      </c>
    </row>
    <row r="88" spans="1:7" ht="20.100000000000001" customHeight="1">
      <c r="A88" s="49" t="str">
        <f ca="1">IFERROR(__xludf.DUMMYFUNCTION("""COMPUTED_VALUE"""),"TSH-tireostimullaşdırıcı hormon")</f>
        <v>TSH-tireostimullaşdırıcı hormon</v>
      </c>
      <c r="B88" s="50" t="s">
        <v>52</v>
      </c>
      <c r="C88" s="50" t="s">
        <v>44</v>
      </c>
      <c r="D88" s="50" t="s">
        <v>37</v>
      </c>
      <c r="E88" s="50" t="s">
        <v>38</v>
      </c>
      <c r="F88" s="51" t="s">
        <v>45</v>
      </c>
      <c r="G88" s="52" t="s">
        <v>40</v>
      </c>
    </row>
    <row r="89" spans="1:7" ht="20.100000000000001" customHeight="1">
      <c r="A89" s="53" t="s">
        <v>22</v>
      </c>
      <c r="B89" s="46"/>
      <c r="C89" s="46"/>
      <c r="D89" s="46"/>
      <c r="E89" s="46"/>
      <c r="F89" s="47"/>
      <c r="G89" s="48"/>
    </row>
    <row r="90" spans="1:7" ht="20.100000000000001" customHeight="1">
      <c r="A90" s="49" t="str">
        <f ca="1">IFERROR(__xludf.DUMMYFUNCTION("""COMPUTED_VALUE"""),"C-peptid")</f>
        <v>C-peptid</v>
      </c>
      <c r="B90" s="50" t="s">
        <v>52</v>
      </c>
      <c r="C90" s="50" t="s">
        <v>44</v>
      </c>
      <c r="D90" s="50" t="s">
        <v>37</v>
      </c>
      <c r="E90" s="50" t="s">
        <v>38</v>
      </c>
      <c r="F90" s="51" t="s">
        <v>45</v>
      </c>
      <c r="G90" s="52" t="s">
        <v>40</v>
      </c>
    </row>
    <row r="91" spans="1:7" ht="20.100000000000001" customHeight="1">
      <c r="A91" s="45" t="str">
        <f ca="1">IFERROR(__xludf.DUMMYFUNCTION("""COMPUTED_VALUE"""),"İnsulin")</f>
        <v>İnsulin</v>
      </c>
      <c r="B91" s="46" t="s">
        <v>52</v>
      </c>
      <c r="C91" s="46" t="s">
        <v>44</v>
      </c>
      <c r="D91" s="46" t="s">
        <v>37</v>
      </c>
      <c r="E91" s="46" t="s">
        <v>38</v>
      </c>
      <c r="F91" s="47" t="s">
        <v>45</v>
      </c>
      <c r="G91" s="48" t="s">
        <v>40</v>
      </c>
    </row>
    <row r="92" spans="1:7" ht="20.100000000000001" customHeight="1">
      <c r="A92" s="49" t="str">
        <f ca="1">IFERROR(__xludf.DUMMYFUNCTION("""COMPUTED_VALUE"""),"insulin rezistentliy")</f>
        <v>insulin rezistentliy</v>
      </c>
      <c r="B92" s="50" t="s">
        <v>52</v>
      </c>
      <c r="C92" s="50" t="s">
        <v>44</v>
      </c>
      <c r="D92" s="50" t="s">
        <v>37</v>
      </c>
      <c r="E92" s="50" t="s">
        <v>38</v>
      </c>
      <c r="F92" s="51" t="s">
        <v>45</v>
      </c>
      <c r="G92" s="52" t="s">
        <v>40</v>
      </c>
    </row>
    <row r="93" spans="1:7" ht="20.100000000000001" customHeight="1">
      <c r="A93" s="53" t="s">
        <v>23</v>
      </c>
      <c r="B93" s="46"/>
      <c r="C93" s="46"/>
      <c r="D93" s="46"/>
      <c r="E93" s="46"/>
      <c r="F93" s="47"/>
      <c r="G93" s="48"/>
    </row>
    <row r="94" spans="1:7" ht="20.100000000000001" customHeight="1">
      <c r="A94" s="49" t="str">
        <f ca="1">IFERROR(__xludf.DUMMYFUNCTION("""COMPUTED_VALUE"""),"AFP alfa-fetoprotein")</f>
        <v>AFP alfa-fetoprotein</v>
      </c>
      <c r="B94" s="50" t="s">
        <v>52</v>
      </c>
      <c r="C94" s="50" t="s">
        <v>44</v>
      </c>
      <c r="D94" s="50" t="s">
        <v>37</v>
      </c>
      <c r="E94" s="50" t="s">
        <v>38</v>
      </c>
      <c r="F94" s="51" t="s">
        <v>39</v>
      </c>
      <c r="G94" s="52" t="s">
        <v>40</v>
      </c>
    </row>
    <row r="95" spans="1:7" ht="20.100000000000001" customHeight="1">
      <c r="A95" s="45" t="str">
        <f ca="1">IFERROR(__xludf.DUMMYFUNCTION("""COMPUTED_VALUE"""),"PRİSCA (İkili test - hamiəlyin skrininqi)")</f>
        <v>PRİSCA (İkili test - hamiəlyin skrininqi)</v>
      </c>
      <c r="B95" s="46" t="s">
        <v>52</v>
      </c>
      <c r="C95" s="46" t="s">
        <v>44</v>
      </c>
      <c r="D95" s="46" t="s">
        <v>37</v>
      </c>
      <c r="E95" s="46" t="s">
        <v>55</v>
      </c>
      <c r="F95" s="47" t="s">
        <v>45</v>
      </c>
      <c r="G95" s="48" t="s">
        <v>40</v>
      </c>
    </row>
    <row r="96" spans="1:7" ht="20.100000000000001" customHeight="1">
      <c r="A96" s="49" t="str">
        <f ca="1">IFERROR(__xludf.DUMMYFUNCTION("""COMPUTED_VALUE"""),"PRİSCA (Üçlü test - hamiəlyin skrininqi)")</f>
        <v>PRİSCA (Üçlü test - hamiəlyin skrininqi)</v>
      </c>
      <c r="B96" s="50" t="s">
        <v>52</v>
      </c>
      <c r="C96" s="50" t="s">
        <v>44</v>
      </c>
      <c r="D96" s="50" t="s">
        <v>37</v>
      </c>
      <c r="E96" s="50" t="s">
        <v>55</v>
      </c>
      <c r="F96" s="51" t="s">
        <v>45</v>
      </c>
      <c r="G96" s="52" t="s">
        <v>40</v>
      </c>
    </row>
    <row r="97" spans="1:7" ht="20.100000000000001" customHeight="1">
      <c r="A97" s="45" t="str">
        <f ca="1">IFERROR(__xludf.DUMMYFUNCTION("""COMPUTED_VALUE"""),"AFP alfa-fetoprotein")</f>
        <v>AFP alfa-fetoprotein</v>
      </c>
      <c r="B97" s="46" t="s">
        <v>52</v>
      </c>
      <c r="C97" s="46" t="s">
        <v>44</v>
      </c>
      <c r="D97" s="46" t="s">
        <v>37</v>
      </c>
      <c r="E97" s="46" t="s">
        <v>38</v>
      </c>
      <c r="F97" s="47" t="s">
        <v>39</v>
      </c>
      <c r="G97" s="48" t="s">
        <v>40</v>
      </c>
    </row>
    <row r="98" spans="1:7" ht="20.100000000000001" customHeight="1">
      <c r="A98" s="49" t="str">
        <f ca="1">IFERROR(__xludf.DUMMYFUNCTION("""COMPUTED_VALUE"""),"CA 125")</f>
        <v>CA 125</v>
      </c>
      <c r="B98" s="50" t="s">
        <v>52</v>
      </c>
      <c r="C98" s="50" t="s">
        <v>44</v>
      </c>
      <c r="D98" s="50" t="s">
        <v>37</v>
      </c>
      <c r="E98" s="50" t="s">
        <v>38</v>
      </c>
      <c r="F98" s="51" t="s">
        <v>45</v>
      </c>
      <c r="G98" s="52" t="s">
        <v>40</v>
      </c>
    </row>
    <row r="99" spans="1:7" ht="20.100000000000001" customHeight="1">
      <c r="A99" s="45" t="str">
        <f ca="1">IFERROR(__xludf.DUMMYFUNCTION("""COMPUTED_VALUE"""),"CA 15-3")</f>
        <v>CA 15-3</v>
      </c>
      <c r="B99" s="46" t="s">
        <v>52</v>
      </c>
      <c r="C99" s="46" t="s">
        <v>44</v>
      </c>
      <c r="D99" s="46" t="s">
        <v>37</v>
      </c>
      <c r="E99" s="46" t="s">
        <v>38</v>
      </c>
      <c r="F99" s="47" t="s">
        <v>45</v>
      </c>
      <c r="G99" s="48" t="s">
        <v>40</v>
      </c>
    </row>
    <row r="100" spans="1:7" ht="20.100000000000001" customHeight="1">
      <c r="A100" s="49" t="str">
        <f ca="1">IFERROR(__xludf.DUMMYFUNCTION("""COMPUTED_VALUE"""),"CA 19-9")</f>
        <v>CA 19-9</v>
      </c>
      <c r="B100" s="50" t="s">
        <v>52</v>
      </c>
      <c r="C100" s="50" t="s">
        <v>44</v>
      </c>
      <c r="D100" s="50" t="s">
        <v>37</v>
      </c>
      <c r="E100" s="50" t="s">
        <v>38</v>
      </c>
      <c r="F100" s="51" t="s">
        <v>45</v>
      </c>
      <c r="G100" s="52" t="s">
        <v>40</v>
      </c>
    </row>
    <row r="101" spans="1:7" ht="20.100000000000001" customHeight="1">
      <c r="A101" s="45" t="str">
        <f ca="1">IFERROR(__xludf.DUMMYFUNCTION("""COMPUTED_VALUE"""),"CEA (karsinoembrional antigen)")</f>
        <v>CEA (karsinoembrional antigen)</v>
      </c>
      <c r="B101" s="46" t="s">
        <v>52</v>
      </c>
      <c r="C101" s="46" t="s">
        <v>44</v>
      </c>
      <c r="D101" s="46" t="s">
        <v>37</v>
      </c>
      <c r="E101" s="46" t="s">
        <v>38</v>
      </c>
      <c r="F101" s="47" t="s">
        <v>45</v>
      </c>
      <c r="G101" s="48" t="s">
        <v>40</v>
      </c>
    </row>
    <row r="102" spans="1:7" ht="20.100000000000001" customHeight="1">
      <c r="A102" s="49" t="str">
        <f ca="1">IFERROR(__xludf.DUMMYFUNCTION("""COMPUTED_VALUE"""),"PSA ümumi")</f>
        <v>PSA ümumi</v>
      </c>
      <c r="B102" s="50" t="s">
        <v>52</v>
      </c>
      <c r="C102" s="50" t="s">
        <v>44</v>
      </c>
      <c r="D102" s="50" t="s">
        <v>37</v>
      </c>
      <c r="E102" s="50" t="s">
        <v>38</v>
      </c>
      <c r="F102" s="51" t="s">
        <v>45</v>
      </c>
      <c r="G102" s="52" t="s">
        <v>40</v>
      </c>
    </row>
    <row r="103" spans="1:7" ht="20.100000000000001" customHeight="1">
      <c r="A103" s="65" t="s">
        <v>24</v>
      </c>
      <c r="B103" s="46"/>
      <c r="C103" s="46"/>
      <c r="D103" s="46"/>
      <c r="E103" s="46"/>
      <c r="F103" s="47"/>
      <c r="G103" s="48"/>
    </row>
    <row r="104" spans="1:7" ht="20.100000000000001" customHeight="1">
      <c r="A104" s="49" t="str">
        <f ca="1">IFERROR(__xludf.DUMMYFUNCTION("""COMPUTED_VALUE"""),"ASO antistreptolizin-o")</f>
        <v>ASO antistreptolizin-o</v>
      </c>
      <c r="B104" s="50" t="s">
        <v>35</v>
      </c>
      <c r="C104" s="50" t="s">
        <v>44</v>
      </c>
      <c r="D104" s="50" t="s">
        <v>37</v>
      </c>
      <c r="E104" s="50" t="s">
        <v>42</v>
      </c>
      <c r="F104" s="51" t="s">
        <v>45</v>
      </c>
      <c r="G104" s="52" t="s">
        <v>40</v>
      </c>
    </row>
    <row r="105" spans="1:7" ht="20.100000000000001" customHeight="1">
      <c r="A105" s="45" t="str">
        <f ca="1">IFERROR(__xludf.DUMMYFUNCTION("""COMPUTED_VALUE"""),"CRP C-reaktiv zülal")</f>
        <v>CRP C-reaktiv zülal</v>
      </c>
      <c r="B105" s="46" t="s">
        <v>35</v>
      </c>
      <c r="C105" s="46" t="s">
        <v>44</v>
      </c>
      <c r="D105" s="46" t="s">
        <v>37</v>
      </c>
      <c r="E105" s="46" t="s">
        <v>42</v>
      </c>
      <c r="F105" s="47" t="s">
        <v>45</v>
      </c>
      <c r="G105" s="48" t="s">
        <v>40</v>
      </c>
    </row>
    <row r="106" spans="1:7" ht="20.100000000000001" customHeight="1">
      <c r="A106" s="49" t="str">
        <f ca="1">IFERROR(__xludf.DUMMYFUNCTION("""COMPUTED_VALUE"""),"Procalsitonin")</f>
        <v>Procalsitonin</v>
      </c>
      <c r="B106" s="50" t="s">
        <v>52</v>
      </c>
      <c r="C106" s="50" t="s">
        <v>44</v>
      </c>
      <c r="D106" s="50" t="s">
        <v>37</v>
      </c>
      <c r="E106" s="50" t="s">
        <v>38</v>
      </c>
      <c r="F106" s="51" t="s">
        <v>45</v>
      </c>
      <c r="G106" s="52" t="s">
        <v>40</v>
      </c>
    </row>
    <row r="107" spans="1:7" ht="20.100000000000001" customHeight="1">
      <c r="A107" s="45" t="str">
        <f ca="1">IFERROR(__xludf.DUMMYFUNCTION("""COMPUTED_VALUE"""),"RF revmatoid faktor")</f>
        <v>RF revmatoid faktor</v>
      </c>
      <c r="B107" s="46" t="s">
        <v>35</v>
      </c>
      <c r="C107" s="46" t="s">
        <v>44</v>
      </c>
      <c r="D107" s="46" t="s">
        <v>37</v>
      </c>
      <c r="E107" s="46" t="s">
        <v>42</v>
      </c>
      <c r="F107" s="47" t="s">
        <v>45</v>
      </c>
      <c r="G107" s="48" t="s">
        <v>40</v>
      </c>
    </row>
    <row r="108" spans="1:7" ht="20.100000000000001" customHeight="1">
      <c r="A108" s="66" t="s">
        <v>25</v>
      </c>
      <c r="B108" s="50"/>
      <c r="C108" s="50"/>
      <c r="D108" s="50"/>
      <c r="E108" s="50"/>
      <c r="F108" s="51"/>
      <c r="G108" s="52"/>
    </row>
    <row r="109" spans="1:7" ht="20.100000000000001" customHeight="1">
      <c r="A109" s="45" t="str">
        <f ca="1">IFERROR(__xludf.DUMMYFUNCTION("""COMPUTED_VALUE"""),"Anti CCP")</f>
        <v>Anti CCP</v>
      </c>
      <c r="B109" s="46" t="s">
        <v>52</v>
      </c>
      <c r="C109" s="46" t="s">
        <v>44</v>
      </c>
      <c r="D109" s="46" t="s">
        <v>37</v>
      </c>
      <c r="E109" s="46" t="s">
        <v>38</v>
      </c>
      <c r="F109" s="47" t="s">
        <v>48</v>
      </c>
      <c r="G109" s="48" t="s">
        <v>40</v>
      </c>
    </row>
    <row r="110" spans="1:7" ht="20.100000000000001" customHeight="1">
      <c r="A110" s="42" t="s">
        <v>26</v>
      </c>
      <c r="B110" s="50"/>
      <c r="C110" s="50"/>
      <c r="D110" s="50"/>
      <c r="E110" s="50"/>
      <c r="F110" s="51"/>
      <c r="G110" s="52"/>
    </row>
    <row r="111" spans="1:7" ht="20.100000000000001" customHeight="1">
      <c r="A111" s="45" t="str">
        <f ca="1">IFERROR(__xludf.DUMMYFUNCTION("""COMPUTED_VALUE"""),"25-OH Vitamin D")</f>
        <v>25-OH Vitamin D</v>
      </c>
      <c r="B111" s="46" t="s">
        <v>52</v>
      </c>
      <c r="C111" s="46" t="s">
        <v>44</v>
      </c>
      <c r="D111" s="46" t="s">
        <v>37</v>
      </c>
      <c r="E111" s="46" t="s">
        <v>38</v>
      </c>
      <c r="F111" s="47" t="s">
        <v>56</v>
      </c>
      <c r="G111" s="48" t="s">
        <v>40</v>
      </c>
    </row>
    <row r="112" spans="1:7" ht="20.100000000000001" customHeight="1">
      <c r="A112" s="49" t="str">
        <f ca="1">IFERROR(__xludf.DUMMYFUNCTION("""COMPUTED_VALUE"""),"Fol turşusu (B9)")</f>
        <v>Fol turşusu (B9)</v>
      </c>
      <c r="B112" s="50" t="s">
        <v>52</v>
      </c>
      <c r="C112" s="50" t="s">
        <v>44</v>
      </c>
      <c r="D112" s="50" t="s">
        <v>37</v>
      </c>
      <c r="E112" s="50" t="s">
        <v>38</v>
      </c>
      <c r="F112" s="51" t="s">
        <v>45</v>
      </c>
      <c r="G112" s="52" t="s">
        <v>40</v>
      </c>
    </row>
    <row r="113" spans="1:7" ht="20.100000000000001" customHeight="1">
      <c r="A113" s="45" t="str">
        <f ca="1">IFERROR(__xludf.DUMMYFUNCTION("""COMPUTED_VALUE"""),"Vitamin B-12")</f>
        <v>Vitamin B-12</v>
      </c>
      <c r="B113" s="46" t="s">
        <v>52</v>
      </c>
      <c r="C113" s="46" t="s">
        <v>44</v>
      </c>
      <c r="D113" s="46" t="s">
        <v>37</v>
      </c>
      <c r="E113" s="46" t="s">
        <v>38</v>
      </c>
      <c r="F113" s="47" t="s">
        <v>45</v>
      </c>
      <c r="G113" s="48" t="s">
        <v>40</v>
      </c>
    </row>
    <row r="114" spans="1:7" ht="20.100000000000001" customHeight="1">
      <c r="A114" s="42" t="s">
        <v>27</v>
      </c>
      <c r="B114" s="50"/>
      <c r="C114" s="50"/>
      <c r="D114" s="50"/>
      <c r="E114" s="50"/>
      <c r="F114" s="51"/>
      <c r="G114" s="52"/>
    </row>
    <row r="115" spans="1:7" ht="20.100000000000001" customHeight="1">
      <c r="A115" s="45" t="str">
        <f ca="1">IFERROR(__xludf.DUMMYFUNCTION("""COMPUTED_VALUE"""),"Kreatinfosfokinaza")</f>
        <v>Kreatinfosfokinaza</v>
      </c>
      <c r="B115" s="46" t="s">
        <v>35</v>
      </c>
      <c r="C115" s="46" t="s">
        <v>44</v>
      </c>
      <c r="D115" s="46" t="s">
        <v>37</v>
      </c>
      <c r="E115" s="46" t="s">
        <v>42</v>
      </c>
      <c r="F115" s="47" t="s">
        <v>45</v>
      </c>
      <c r="G115" s="48" t="s">
        <v>40</v>
      </c>
    </row>
    <row r="116" spans="1:7" ht="20.100000000000001" customHeight="1">
      <c r="A116" s="49" t="str">
        <f ca="1">IFERROR(__xludf.DUMMYFUNCTION("""COMPUTED_VALUE"""),"Kreatinkinaza CK-MB frak.")</f>
        <v>Kreatinkinaza CK-MB frak.</v>
      </c>
      <c r="B116" s="50" t="s">
        <v>35</v>
      </c>
      <c r="C116" s="50" t="s">
        <v>44</v>
      </c>
      <c r="D116" s="50" t="s">
        <v>37</v>
      </c>
      <c r="E116" s="50" t="s">
        <v>42</v>
      </c>
      <c r="F116" s="51" t="s">
        <v>45</v>
      </c>
      <c r="G116" s="52" t="s">
        <v>40</v>
      </c>
    </row>
    <row r="117" spans="1:7" ht="20.100000000000001" customHeight="1">
      <c r="A117" s="45" t="s">
        <v>8</v>
      </c>
      <c r="B117" s="46" t="s">
        <v>52</v>
      </c>
      <c r="C117" s="46" t="s">
        <v>44</v>
      </c>
      <c r="D117" s="46" t="s">
        <v>37</v>
      </c>
      <c r="E117" s="46" t="s">
        <v>57</v>
      </c>
      <c r="F117" s="47" t="s">
        <v>45</v>
      </c>
      <c r="G117" s="48" t="s">
        <v>40</v>
      </c>
    </row>
    <row r="118" spans="1:7" ht="20.100000000000001" customHeight="1">
      <c r="A118" s="42" t="s">
        <v>28</v>
      </c>
      <c r="B118" s="50"/>
      <c r="C118" s="50"/>
      <c r="D118" s="50"/>
      <c r="E118" s="50"/>
      <c r="F118" s="51"/>
      <c r="G118" s="52"/>
    </row>
    <row r="119" spans="1:7" ht="20.100000000000001" customHeight="1">
      <c r="A119" s="45" t="str">
        <f ca="1">IFERROR(__xludf.DUMMYFUNCTION("""COMPUTED_VALUE"""),"APTT")</f>
        <v>APTT</v>
      </c>
      <c r="B119" s="46" t="s">
        <v>9</v>
      </c>
      <c r="C119" s="46" t="s">
        <v>58</v>
      </c>
      <c r="D119" s="46" t="s">
        <v>37</v>
      </c>
      <c r="E119" s="46" t="s">
        <v>42</v>
      </c>
      <c r="F119" s="47" t="s">
        <v>59</v>
      </c>
      <c r="G119" s="48" t="s">
        <v>40</v>
      </c>
    </row>
    <row r="120" spans="1:7" ht="20.100000000000001" customHeight="1">
      <c r="A120" s="49" t="str">
        <f ca="1">IFERROR(__xludf.DUMMYFUNCTION("""COMPUTED_VALUE"""),"D-dimer")</f>
        <v>D-dimer</v>
      </c>
      <c r="B120" s="50" t="s">
        <v>9</v>
      </c>
      <c r="C120" s="50" t="s">
        <v>58</v>
      </c>
      <c r="D120" s="50" t="s">
        <v>37</v>
      </c>
      <c r="E120" s="50" t="s">
        <v>38</v>
      </c>
      <c r="F120" s="51" t="s">
        <v>45</v>
      </c>
      <c r="G120" s="52" t="s">
        <v>40</v>
      </c>
    </row>
    <row r="121" spans="1:7" ht="20.100000000000001" customHeight="1">
      <c r="A121" s="45" t="str">
        <f ca="1">IFERROR(__xludf.DUMMYFUNCTION("""COMPUTED_VALUE"""),"Fibrinogen")</f>
        <v>Fibrinogen</v>
      </c>
      <c r="B121" s="46" t="s">
        <v>9</v>
      </c>
      <c r="C121" s="46" t="s">
        <v>58</v>
      </c>
      <c r="D121" s="46" t="s">
        <v>37</v>
      </c>
      <c r="E121" s="46" t="s">
        <v>42</v>
      </c>
      <c r="F121" s="47" t="s">
        <v>45</v>
      </c>
      <c r="G121" s="48" t="s">
        <v>40</v>
      </c>
    </row>
    <row r="122" spans="1:7" ht="20.100000000000001" customHeight="1">
      <c r="A122" s="49" t="str">
        <f ca="1">IFERROR(__xludf.DUMMYFUNCTION("""COMPUTED_VALUE"""),"Protrombin müddəti (İndeks +INR)")</f>
        <v>Protrombin müddəti (İndeks +INR)</v>
      </c>
      <c r="B122" s="50" t="s">
        <v>9</v>
      </c>
      <c r="C122" s="50" t="s">
        <v>58</v>
      </c>
      <c r="D122" s="50" t="s">
        <v>37</v>
      </c>
      <c r="E122" s="50" t="s">
        <v>42</v>
      </c>
      <c r="F122" s="51" t="s">
        <v>59</v>
      </c>
      <c r="G122" s="52" t="s">
        <v>40</v>
      </c>
    </row>
    <row r="123" spans="1:7" ht="20.100000000000001" customHeight="1">
      <c r="A123" s="45" t="str">
        <f ca="1">IFERROR(__xludf.DUMMYFUNCTION("""COMPUTED_VALUE"""),"Trombin müddəti")</f>
        <v>Trombin müddəti</v>
      </c>
      <c r="B123" s="46" t="s">
        <v>9</v>
      </c>
      <c r="C123" s="46" t="s">
        <v>58</v>
      </c>
      <c r="D123" s="46" t="s">
        <v>37</v>
      </c>
      <c r="E123" s="46" t="s">
        <v>42</v>
      </c>
      <c r="F123" s="47" t="s">
        <v>59</v>
      </c>
      <c r="G123" s="48" t="s">
        <v>40</v>
      </c>
    </row>
    <row r="124" spans="1:7" ht="20.100000000000001" customHeight="1">
      <c r="A124" s="42" t="s">
        <v>29</v>
      </c>
      <c r="B124" s="50"/>
      <c r="C124" s="50"/>
      <c r="D124" s="50"/>
      <c r="E124" s="50"/>
      <c r="F124" s="51"/>
      <c r="G124" s="52"/>
    </row>
    <row r="125" spans="1:7" ht="20.100000000000001" customHeight="1">
      <c r="A125" s="56" t="str">
        <f ca="1">IFERROR(__xludf.DUMMYFUNCTION("""COMPUTED_VALUE"""),"Anti HCV")</f>
        <v>Anti HCV</v>
      </c>
      <c r="B125" s="46" t="s">
        <v>52</v>
      </c>
      <c r="C125" s="46" t="s">
        <v>44</v>
      </c>
      <c r="D125" s="46" t="s">
        <v>37</v>
      </c>
      <c r="E125" s="46" t="s">
        <v>38</v>
      </c>
      <c r="F125" s="47" t="s">
        <v>48</v>
      </c>
      <c r="G125" s="48" t="s">
        <v>40</v>
      </c>
    </row>
    <row r="126" spans="1:7" ht="20.100000000000001" customHeight="1">
      <c r="A126" s="57" t="str">
        <f ca="1">IFERROR(__xludf.DUMMYFUNCTION("""COMPUTED_VALUE"""),"Anti-HBc İgM")</f>
        <v>Anti-HBc İgM</v>
      </c>
      <c r="B126" s="50" t="s">
        <v>52</v>
      </c>
      <c r="C126" s="50" t="s">
        <v>44</v>
      </c>
      <c r="D126" s="50" t="s">
        <v>37</v>
      </c>
      <c r="E126" s="50" t="s">
        <v>38</v>
      </c>
      <c r="F126" s="51" t="s">
        <v>48</v>
      </c>
      <c r="G126" s="52" t="s">
        <v>40</v>
      </c>
    </row>
    <row r="127" spans="1:7" ht="20.100000000000001" customHeight="1">
      <c r="A127" s="56" t="str">
        <f ca="1">IFERROR(__xludf.DUMMYFUNCTION("""COMPUTED_VALUE"""),"Anti-HBe")</f>
        <v>Anti-HBe</v>
      </c>
      <c r="B127" s="46" t="s">
        <v>52</v>
      </c>
      <c r="C127" s="46" t="s">
        <v>44</v>
      </c>
      <c r="D127" s="46" t="s">
        <v>37</v>
      </c>
      <c r="E127" s="46" t="s">
        <v>38</v>
      </c>
      <c r="F127" s="47" t="s">
        <v>48</v>
      </c>
      <c r="G127" s="48" t="s">
        <v>40</v>
      </c>
    </row>
    <row r="128" spans="1:7" ht="20.100000000000001" customHeight="1">
      <c r="A128" s="57" t="str">
        <f ca="1">IFERROR(__xludf.DUMMYFUNCTION("""COMPUTED_VALUE"""),"Anti-HBs (HbsAb)")</f>
        <v>Anti-HBs (HbsAb)</v>
      </c>
      <c r="B128" s="50" t="s">
        <v>52</v>
      </c>
      <c r="C128" s="50" t="s">
        <v>44</v>
      </c>
      <c r="D128" s="50" t="s">
        <v>37</v>
      </c>
      <c r="E128" s="50" t="s">
        <v>38</v>
      </c>
      <c r="F128" s="51" t="s">
        <v>48</v>
      </c>
      <c r="G128" s="52" t="s">
        <v>40</v>
      </c>
    </row>
    <row r="129" spans="1:7" ht="20.100000000000001" customHeight="1">
      <c r="A129" s="56" t="str">
        <f ca="1">IFERROR(__xludf.DUMMYFUNCTION("""COMPUTED_VALUE"""),"Anti-HİV (express)")</f>
        <v>Anti-HİV (express)</v>
      </c>
      <c r="B129" s="46" t="s">
        <v>60</v>
      </c>
      <c r="C129" s="46" t="s">
        <v>44</v>
      </c>
      <c r="D129" s="46" t="s">
        <v>37</v>
      </c>
      <c r="E129" s="46" t="s">
        <v>42</v>
      </c>
      <c r="F129" s="47" t="s">
        <v>45</v>
      </c>
      <c r="G129" s="48" t="s">
        <v>40</v>
      </c>
    </row>
    <row r="130" spans="1:7" ht="20.100000000000001" customHeight="1">
      <c r="A130" s="57" t="str">
        <f ca="1">IFERROR(__xludf.DUMMYFUNCTION("""COMPUTED_VALUE"""),"HAV İqM")</f>
        <v>HAV İqM</v>
      </c>
      <c r="B130" s="50" t="s">
        <v>52</v>
      </c>
      <c r="C130" s="50" t="s">
        <v>44</v>
      </c>
      <c r="D130" s="50" t="s">
        <v>37</v>
      </c>
      <c r="E130" s="50" t="s">
        <v>38</v>
      </c>
      <c r="F130" s="51" t="s">
        <v>45</v>
      </c>
      <c r="G130" s="52" t="s">
        <v>40</v>
      </c>
    </row>
    <row r="131" spans="1:7" ht="20.100000000000001" customHeight="1">
      <c r="A131" s="45" t="str">
        <f ca="1">IFERROR(__xludf.DUMMYFUNCTION("""COMPUTED_VALUE"""),"HAV total")</f>
        <v>HAV total</v>
      </c>
      <c r="B131" s="46" t="s">
        <v>52</v>
      </c>
      <c r="C131" s="46" t="s">
        <v>44</v>
      </c>
      <c r="D131" s="46" t="s">
        <v>37</v>
      </c>
      <c r="E131" s="46" t="s">
        <v>38</v>
      </c>
      <c r="F131" s="47" t="s">
        <v>45</v>
      </c>
      <c r="G131" s="48" t="s">
        <v>40</v>
      </c>
    </row>
    <row r="132" spans="1:7" ht="20.100000000000001" customHeight="1">
      <c r="A132" s="49" t="str">
        <f ca="1">IFERROR(__xludf.DUMMYFUNCTION("""COMPUTED_VALUE"""),"HBc Ab (Total)")</f>
        <v>HBc Ab (Total)</v>
      </c>
      <c r="B132" s="50" t="s">
        <v>52</v>
      </c>
      <c r="C132" s="50" t="s">
        <v>44</v>
      </c>
      <c r="D132" s="50" t="s">
        <v>37</v>
      </c>
      <c r="E132" s="50" t="s">
        <v>38</v>
      </c>
      <c r="F132" s="51" t="s">
        <v>45</v>
      </c>
      <c r="G132" s="52" t="s">
        <v>40</v>
      </c>
    </row>
    <row r="133" spans="1:7" ht="20.100000000000001" customHeight="1">
      <c r="A133" s="45" t="str">
        <f ca="1">IFERROR(__xludf.DUMMYFUNCTION("""COMPUTED_VALUE"""),"HBeAg")</f>
        <v>HBeAg</v>
      </c>
      <c r="B133" s="46" t="s">
        <v>52</v>
      </c>
      <c r="C133" s="46" t="s">
        <v>44</v>
      </c>
      <c r="D133" s="46" t="s">
        <v>37</v>
      </c>
      <c r="E133" s="46" t="s">
        <v>38</v>
      </c>
      <c r="F133" s="47" t="s">
        <v>45</v>
      </c>
      <c r="G133" s="48" t="s">
        <v>40</v>
      </c>
    </row>
    <row r="134" spans="1:7" ht="20.100000000000001" customHeight="1">
      <c r="A134" s="49" t="str">
        <f ca="1">IFERROR(__xludf.DUMMYFUNCTION("""COMPUTED_VALUE"""),"HBsAg")</f>
        <v>HBsAg</v>
      </c>
      <c r="B134" s="50" t="s">
        <v>52</v>
      </c>
      <c r="C134" s="50" t="s">
        <v>44</v>
      </c>
      <c r="D134" s="50" t="s">
        <v>37</v>
      </c>
      <c r="E134" s="50" t="s">
        <v>38</v>
      </c>
      <c r="F134" s="51" t="s">
        <v>45</v>
      </c>
      <c r="G134" s="52" t="s">
        <v>40</v>
      </c>
    </row>
    <row r="135" spans="1:7" ht="20.100000000000001" customHeight="1">
      <c r="A135" s="45" t="str">
        <f ca="1">IFERROR(__xludf.DUMMYFUNCTION("""COMPUTED_VALUE"""),"HBsAg- (express)")</f>
        <v>HBsAg- (express)</v>
      </c>
      <c r="B135" s="46" t="s">
        <v>60</v>
      </c>
      <c r="C135" s="46" t="s">
        <v>44</v>
      </c>
      <c r="D135" s="46" t="s">
        <v>37</v>
      </c>
      <c r="E135" s="46" t="s">
        <v>42</v>
      </c>
      <c r="F135" s="47" t="s">
        <v>45</v>
      </c>
      <c r="G135" s="48" t="s">
        <v>40</v>
      </c>
    </row>
    <row r="136" spans="1:7" ht="20.100000000000001" customHeight="1">
      <c r="A136" s="42" t="s">
        <v>30</v>
      </c>
      <c r="B136" s="50"/>
      <c r="C136" s="50"/>
      <c r="D136" s="50"/>
      <c r="E136" s="50"/>
      <c r="F136" s="51"/>
      <c r="G136" s="52"/>
    </row>
    <row r="137" spans="1:7" ht="20.100000000000001" customHeight="1">
      <c r="A137" s="45" t="str">
        <f ca="1">IFERROR(__xludf.DUMMYFUNCTION("""COMPUTED_VALUE"""),"Chlamydia tr. İgM")</f>
        <v>Chlamydia tr. İgM</v>
      </c>
      <c r="B137" s="46" t="s">
        <v>52</v>
      </c>
      <c r="C137" s="46" t="s">
        <v>44</v>
      </c>
      <c r="D137" s="46" t="s">
        <v>37</v>
      </c>
      <c r="E137" s="47" t="s">
        <v>10</v>
      </c>
      <c r="F137" s="47" t="s">
        <v>45</v>
      </c>
      <c r="G137" s="48" t="s">
        <v>40</v>
      </c>
    </row>
    <row r="138" spans="1:7" ht="20.100000000000001" customHeight="1">
      <c r="A138" s="49" t="str">
        <f ca="1">IFERROR(__xludf.DUMMYFUNCTION("""COMPUTED_VALUE"""),"Chlamydia tr.İgG")</f>
        <v>Chlamydia tr.İgG</v>
      </c>
      <c r="B138" s="50" t="s">
        <v>52</v>
      </c>
      <c r="C138" s="50" t="s">
        <v>44</v>
      </c>
      <c r="D138" s="50" t="s">
        <v>37</v>
      </c>
      <c r="E138" s="51" t="s">
        <v>10</v>
      </c>
      <c r="F138" s="51" t="s">
        <v>45</v>
      </c>
      <c r="G138" s="52" t="s">
        <v>40</v>
      </c>
    </row>
    <row r="139" spans="1:7" ht="20.100000000000001" customHeight="1">
      <c r="A139" s="45" t="str">
        <f ca="1">IFERROR(__xludf.DUMMYFUNCTION("""COMPUTED_VALUE"""),"Herpes simpleks I IqG")</f>
        <v>Herpes simpleks I IqG</v>
      </c>
      <c r="B139" s="46" t="s">
        <v>52</v>
      </c>
      <c r="C139" s="46" t="s">
        <v>44</v>
      </c>
      <c r="D139" s="46" t="s">
        <v>37</v>
      </c>
      <c r="E139" s="47" t="s">
        <v>10</v>
      </c>
      <c r="F139" s="47" t="s">
        <v>45</v>
      </c>
      <c r="G139" s="48" t="s">
        <v>40</v>
      </c>
    </row>
    <row r="140" spans="1:7" ht="20.100000000000001" customHeight="1">
      <c r="A140" s="49" t="str">
        <f ca="1">IFERROR(__xludf.DUMMYFUNCTION("""COMPUTED_VALUE"""),"Herpes simpleks I IqM")</f>
        <v>Herpes simpleks I IqM</v>
      </c>
      <c r="B140" s="50" t="s">
        <v>52</v>
      </c>
      <c r="C140" s="50" t="s">
        <v>44</v>
      </c>
      <c r="D140" s="50" t="s">
        <v>37</v>
      </c>
      <c r="E140" s="51" t="s">
        <v>10</v>
      </c>
      <c r="F140" s="51" t="s">
        <v>45</v>
      </c>
      <c r="G140" s="52" t="s">
        <v>40</v>
      </c>
    </row>
    <row r="141" spans="1:7" ht="20.100000000000001" customHeight="1">
      <c r="A141" s="45" t="str">
        <f ca="1">IFERROR(__xludf.DUMMYFUNCTION("""COMPUTED_VALUE"""),"Herpes simpleks II IqG")</f>
        <v>Herpes simpleks II IqG</v>
      </c>
      <c r="B141" s="46" t="s">
        <v>52</v>
      </c>
      <c r="C141" s="46" t="s">
        <v>44</v>
      </c>
      <c r="D141" s="46" t="s">
        <v>37</v>
      </c>
      <c r="E141" s="47" t="s">
        <v>10</v>
      </c>
      <c r="F141" s="47" t="s">
        <v>45</v>
      </c>
      <c r="G141" s="48" t="s">
        <v>40</v>
      </c>
    </row>
    <row r="142" spans="1:7" ht="20.100000000000001" customHeight="1">
      <c r="A142" s="49" t="str">
        <f ca="1">IFERROR(__xludf.DUMMYFUNCTION("""COMPUTED_VALUE"""),"Herpes simpleks II IqM")</f>
        <v>Herpes simpleks II IqM</v>
      </c>
      <c r="B142" s="50" t="s">
        <v>52</v>
      </c>
      <c r="C142" s="50" t="s">
        <v>44</v>
      </c>
      <c r="D142" s="50" t="s">
        <v>37</v>
      </c>
      <c r="E142" s="51" t="s">
        <v>10</v>
      </c>
      <c r="F142" s="51" t="s">
        <v>45</v>
      </c>
      <c r="G142" s="52" t="s">
        <v>40</v>
      </c>
    </row>
    <row r="143" spans="1:7" ht="20.100000000000001" customHeight="1">
      <c r="A143" s="45" t="str">
        <f ca="1">IFERROR(__xludf.DUMMYFUNCTION("""COMPUTED_VALUE"""),"Mycoplasma hominis İqG")</f>
        <v>Mycoplasma hominis İqG</v>
      </c>
      <c r="B143" s="46" t="s">
        <v>52</v>
      </c>
      <c r="C143" s="46" t="s">
        <v>44</v>
      </c>
      <c r="D143" s="46" t="s">
        <v>37</v>
      </c>
      <c r="E143" s="47" t="s">
        <v>10</v>
      </c>
      <c r="F143" s="47" t="s">
        <v>45</v>
      </c>
      <c r="G143" s="48" t="s">
        <v>40</v>
      </c>
    </row>
    <row r="144" spans="1:7" ht="20.100000000000001" customHeight="1">
      <c r="A144" s="49" t="str">
        <f ca="1">IFERROR(__xludf.DUMMYFUNCTION("""COMPUTED_VALUE"""),"Məxmərək (Rubella) İgG")</f>
        <v>Məxmərək (Rubella) İgG</v>
      </c>
      <c r="B144" s="50" t="s">
        <v>52</v>
      </c>
      <c r="C144" s="50" t="s">
        <v>44</v>
      </c>
      <c r="D144" s="50" t="s">
        <v>37</v>
      </c>
      <c r="E144" s="50" t="s">
        <v>38</v>
      </c>
      <c r="F144" s="51" t="s">
        <v>61</v>
      </c>
      <c r="G144" s="52" t="s">
        <v>40</v>
      </c>
    </row>
    <row r="145" spans="1:7" ht="20.100000000000001" customHeight="1">
      <c r="A145" s="45" t="str">
        <f ca="1">IFERROR(__xludf.DUMMYFUNCTION("""COMPUTED_VALUE"""),"Məxmərək (Rubella) İgM")</f>
        <v>Məxmərək (Rubella) İgM</v>
      </c>
      <c r="B145" s="46" t="s">
        <v>52</v>
      </c>
      <c r="C145" s="46" t="s">
        <v>44</v>
      </c>
      <c r="D145" s="46" t="s">
        <v>37</v>
      </c>
      <c r="E145" s="46" t="s">
        <v>38</v>
      </c>
      <c r="F145" s="47" t="s">
        <v>62</v>
      </c>
      <c r="G145" s="48" t="s">
        <v>40</v>
      </c>
    </row>
    <row r="146" spans="1:7" ht="20.100000000000001" customHeight="1">
      <c r="A146" s="49" t="str">
        <f ca="1">IFERROR(__xludf.DUMMYFUNCTION("""COMPUTED_VALUE"""),"Rubella İgG")</f>
        <v>Rubella İgG</v>
      </c>
      <c r="B146" s="50" t="s">
        <v>52</v>
      </c>
      <c r="C146" s="50" t="s">
        <v>44</v>
      </c>
      <c r="D146" s="50" t="s">
        <v>37</v>
      </c>
      <c r="E146" s="50" t="s">
        <v>38</v>
      </c>
      <c r="F146" s="51" t="s">
        <v>45</v>
      </c>
      <c r="G146" s="52" t="s">
        <v>40</v>
      </c>
    </row>
    <row r="147" spans="1:7" ht="20.100000000000001" customHeight="1">
      <c r="A147" s="45" t="str">
        <f ca="1">IFERROR(__xludf.DUMMYFUNCTION("""COMPUTED_VALUE"""),"Rubella İgM")</f>
        <v>Rubella İgM</v>
      </c>
      <c r="B147" s="46" t="s">
        <v>52</v>
      </c>
      <c r="C147" s="46" t="s">
        <v>44</v>
      </c>
      <c r="D147" s="46" t="s">
        <v>37</v>
      </c>
      <c r="E147" s="46" t="s">
        <v>38</v>
      </c>
      <c r="F147" s="47" t="s">
        <v>45</v>
      </c>
      <c r="G147" s="48" t="s">
        <v>40</v>
      </c>
    </row>
    <row r="148" spans="1:7" ht="20.100000000000001" customHeight="1">
      <c r="A148" s="49" t="str">
        <f ca="1">IFERROR(__xludf.DUMMYFUNCTION("""COMPUTED_VALUE"""),"Sifilis (express)")</f>
        <v>Sifilis (express)</v>
      </c>
      <c r="B148" s="50" t="s">
        <v>60</v>
      </c>
      <c r="C148" s="50" t="s">
        <v>44</v>
      </c>
      <c r="D148" s="50" t="s">
        <v>37</v>
      </c>
      <c r="E148" s="50" t="s">
        <v>42</v>
      </c>
      <c r="F148" s="51" t="s">
        <v>45</v>
      </c>
      <c r="G148" s="52" t="s">
        <v>40</v>
      </c>
    </row>
    <row r="149" spans="1:7" ht="20.100000000000001" customHeight="1">
      <c r="A149" s="45" t="str">
        <f ca="1">IFERROR(__xludf.DUMMYFUNCTION("""COMPUTED_VALUE"""),"Sitomeqalovirus (CMV) İgG")</f>
        <v>Sitomeqalovirus (CMV) İgG</v>
      </c>
      <c r="B149" s="46" t="s">
        <v>52</v>
      </c>
      <c r="C149" s="46" t="s">
        <v>44</v>
      </c>
      <c r="D149" s="46" t="s">
        <v>37</v>
      </c>
      <c r="E149" s="46" t="s">
        <v>38</v>
      </c>
      <c r="F149" s="47" t="s">
        <v>63</v>
      </c>
      <c r="G149" s="48" t="s">
        <v>40</v>
      </c>
    </row>
    <row r="150" spans="1:7" ht="20.100000000000001" customHeight="1">
      <c r="A150" s="49" t="str">
        <f ca="1">IFERROR(__xludf.DUMMYFUNCTION("""COMPUTED_VALUE"""),"Sitomeqalovirus (CMV) İgM")</f>
        <v>Sitomeqalovirus (CMV) İgM</v>
      </c>
      <c r="B150" s="50" t="s">
        <v>52</v>
      </c>
      <c r="C150" s="50" t="s">
        <v>44</v>
      </c>
      <c r="D150" s="50" t="s">
        <v>37</v>
      </c>
      <c r="E150" s="50" t="s">
        <v>38</v>
      </c>
      <c r="F150" s="51" t="s">
        <v>64</v>
      </c>
      <c r="G150" s="52" t="s">
        <v>40</v>
      </c>
    </row>
    <row r="151" spans="1:7" ht="20.100000000000001" customHeight="1">
      <c r="A151" s="45" t="str">
        <f ca="1">IFERROR(__xludf.DUMMYFUNCTION("""COMPUTED_VALUE"""),"Toksoplazma İqG")</f>
        <v>Toksoplazma İqG</v>
      </c>
      <c r="B151" s="46" t="s">
        <v>52</v>
      </c>
      <c r="C151" s="46" t="s">
        <v>44</v>
      </c>
      <c r="D151" s="46" t="s">
        <v>37</v>
      </c>
      <c r="E151" s="46" t="s">
        <v>38</v>
      </c>
      <c r="F151" s="47" t="s">
        <v>45</v>
      </c>
      <c r="G151" s="48" t="s">
        <v>40</v>
      </c>
    </row>
    <row r="152" spans="1:7" ht="20.100000000000001" customHeight="1">
      <c r="A152" s="49" t="str">
        <f ca="1">IFERROR(__xludf.DUMMYFUNCTION("""COMPUTED_VALUE"""),"Toksoplazma İqM")</f>
        <v>Toksoplazma İqM</v>
      </c>
      <c r="B152" s="50" t="s">
        <v>52</v>
      </c>
      <c r="C152" s="50" t="s">
        <v>44</v>
      </c>
      <c r="D152" s="50" t="s">
        <v>37</v>
      </c>
      <c r="E152" s="50" t="s">
        <v>38</v>
      </c>
      <c r="F152" s="51" t="s">
        <v>45</v>
      </c>
      <c r="G152" s="52" t="s">
        <v>40</v>
      </c>
    </row>
    <row r="153" spans="1:7" ht="20.100000000000001" customHeight="1">
      <c r="A153" s="45" t="str">
        <f ca="1">IFERROR(__xludf.DUMMYFUNCTION("""COMPUTED_VALUE"""),"Treponema pallidum İgG + İgM")</f>
        <v>Treponema pallidum İgG + İgM</v>
      </c>
      <c r="B153" s="46" t="s">
        <v>52</v>
      </c>
      <c r="C153" s="46" t="s">
        <v>44</v>
      </c>
      <c r="D153" s="46" t="s">
        <v>37</v>
      </c>
      <c r="E153" s="46" t="s">
        <v>38</v>
      </c>
      <c r="F153" s="47" t="s">
        <v>45</v>
      </c>
      <c r="G153" s="48" t="s">
        <v>40</v>
      </c>
    </row>
    <row r="154" spans="1:7" ht="20.100000000000001" customHeight="1">
      <c r="A154" s="49" t="str">
        <f ca="1">IFERROR(__xludf.DUMMYFUNCTION("""COMPUTED_VALUE"""),"Brusella İgM")</f>
        <v>Brusella İgM</v>
      </c>
      <c r="B154" s="50" t="s">
        <v>52</v>
      </c>
      <c r="C154" s="50" t="s">
        <v>44</v>
      </c>
      <c r="D154" s="50" t="s">
        <v>37</v>
      </c>
      <c r="E154" s="58" t="s">
        <v>10</v>
      </c>
      <c r="F154" s="51" t="s">
        <v>45</v>
      </c>
      <c r="G154" s="52" t="s">
        <v>45</v>
      </c>
    </row>
    <row r="155" spans="1:7" ht="20.100000000000001" customHeight="1">
      <c r="A155" s="45" t="str">
        <f ca="1">IFERROR(__xludf.DUMMYFUNCTION("""COMPUTED_VALUE"""),"Brusella IqG")</f>
        <v>Brusella IqG</v>
      </c>
      <c r="B155" s="46" t="s">
        <v>52</v>
      </c>
      <c r="C155" s="46" t="s">
        <v>44</v>
      </c>
      <c r="D155" s="46" t="s">
        <v>37</v>
      </c>
      <c r="E155" s="59" t="s">
        <v>10</v>
      </c>
      <c r="F155" s="47" t="s">
        <v>45</v>
      </c>
      <c r="G155" s="48" t="s">
        <v>45</v>
      </c>
    </row>
    <row r="156" spans="1:7" ht="20.100000000000001" customHeight="1">
      <c r="A156" s="42" t="s">
        <v>31</v>
      </c>
      <c r="B156" s="50"/>
      <c r="C156" s="50"/>
      <c r="D156" s="50"/>
      <c r="E156" s="54"/>
      <c r="F156" s="50"/>
      <c r="G156" s="52"/>
    </row>
    <row r="157" spans="1:7" ht="20.100000000000001" customHeight="1">
      <c r="A157" s="45" t="str">
        <f ca="1">IFERROR(__xludf.DUMMYFUNCTION("""COMPUTED_VALUE"""),"H.Pylori Ig G")</f>
        <v>H.Pylori Ig G</v>
      </c>
      <c r="B157" s="46" t="s">
        <v>52</v>
      </c>
      <c r="C157" s="46" t="s">
        <v>44</v>
      </c>
      <c r="D157" s="46" t="s">
        <v>37</v>
      </c>
      <c r="E157" s="59" t="s">
        <v>10</v>
      </c>
      <c r="F157" s="47" t="s">
        <v>45</v>
      </c>
      <c r="G157" s="48" t="s">
        <v>40</v>
      </c>
    </row>
    <row r="158" spans="1:7" ht="20.100000000000001" customHeight="1">
      <c r="A158" s="49" t="str">
        <f ca="1">IFERROR(__xludf.DUMMYFUNCTION("""COMPUTED_VALUE"""),"H.Pylori İg M")</f>
        <v>H.Pylori İg M</v>
      </c>
      <c r="B158" s="50" t="s">
        <v>52</v>
      </c>
      <c r="C158" s="50" t="s">
        <v>44</v>
      </c>
      <c r="D158" s="50" t="s">
        <v>37</v>
      </c>
      <c r="E158" s="58" t="s">
        <v>10</v>
      </c>
      <c r="F158" s="51" t="s">
        <v>45</v>
      </c>
      <c r="G158" s="52" t="s">
        <v>40</v>
      </c>
    </row>
    <row r="159" spans="1:7" ht="20.100000000000001" customHeight="1">
      <c r="A159" s="67" t="s">
        <v>32</v>
      </c>
      <c r="B159" s="46"/>
      <c r="C159" s="46"/>
      <c r="D159" s="46"/>
      <c r="E159" s="60"/>
      <c r="F159" s="47"/>
      <c r="G159" s="48"/>
    </row>
    <row r="160" spans="1:7" ht="20.100000000000001" customHeight="1">
      <c r="A160" s="49" t="str">
        <f ca="1">IFERROR(__xludf.DUMMYFUNCTION("""COMPUTED_VALUE"""),"Ascaris lumbricoides İgG1")</f>
        <v>Ascaris lumbricoides İgG1</v>
      </c>
      <c r="B160" s="50" t="s">
        <v>52</v>
      </c>
      <c r="C160" s="50" t="s">
        <v>44</v>
      </c>
      <c r="D160" s="50" t="s">
        <v>37</v>
      </c>
      <c r="E160" s="58" t="s">
        <v>10</v>
      </c>
      <c r="F160" s="51" t="s">
        <v>45</v>
      </c>
      <c r="G160" s="52" t="s">
        <v>40</v>
      </c>
    </row>
    <row r="161" spans="1:7" ht="20.100000000000001" customHeight="1">
      <c r="A161" s="45" t="str">
        <f ca="1">IFERROR(__xludf.DUMMYFUNCTION("""COMPUTED_VALUE"""),"Ekspress üsulu ilə nəcisdə Lamblia Intestinalis antigeninin təyini")</f>
        <v>Ekspress üsulu ilə nəcisdə Lamblia Intestinalis antigeninin təyini</v>
      </c>
      <c r="B161" s="46" t="s">
        <v>60</v>
      </c>
      <c r="C161" s="46" t="s">
        <v>65</v>
      </c>
      <c r="D161" s="46" t="s">
        <v>37</v>
      </c>
      <c r="E161" s="60" t="s">
        <v>42</v>
      </c>
      <c r="F161" s="47" t="s">
        <v>66</v>
      </c>
      <c r="G161" s="48" t="s">
        <v>40</v>
      </c>
    </row>
    <row r="162" spans="1:7" ht="20.100000000000001" customHeight="1">
      <c r="A162" s="49" t="str">
        <f ca="1">IFERROR(__xludf.DUMMYFUNCTION("""COMPUTED_VALUE"""),"Lamblia Ig A")</f>
        <v>Lamblia Ig A</v>
      </c>
      <c r="B162" s="50" t="s">
        <v>52</v>
      </c>
      <c r="C162" s="50" t="s">
        <v>44</v>
      </c>
      <c r="D162" s="50" t="s">
        <v>37</v>
      </c>
      <c r="E162" s="58" t="s">
        <v>10</v>
      </c>
      <c r="F162" s="51" t="s">
        <v>45</v>
      </c>
      <c r="G162" s="52" t="s">
        <v>40</v>
      </c>
    </row>
    <row r="163" spans="1:7" ht="26.25">
      <c r="A163" s="45" t="str">
        <f ca="1">IFERROR(__xludf.DUMMYFUNCTION("""COMPUTED_VALUE"""),"Lamblia Ig G")</f>
        <v>Lamblia Ig G</v>
      </c>
      <c r="B163" s="46" t="s">
        <v>52</v>
      </c>
      <c r="C163" s="46" t="s">
        <v>44</v>
      </c>
      <c r="D163" s="46" t="s">
        <v>37</v>
      </c>
      <c r="E163" s="59" t="s">
        <v>10</v>
      </c>
      <c r="F163" s="47" t="s">
        <v>45</v>
      </c>
      <c r="G163" s="48" t="s">
        <v>40</v>
      </c>
    </row>
    <row r="164" spans="1:7" ht="26.25">
      <c r="A164" s="49" t="str">
        <f ca="1">IFERROR(__xludf.DUMMYFUNCTION("""COMPUTED_VALUE"""),"Lamblia Ig M")</f>
        <v>Lamblia Ig M</v>
      </c>
      <c r="B164" s="50" t="s">
        <v>52</v>
      </c>
      <c r="C164" s="50" t="s">
        <v>44</v>
      </c>
      <c r="D164" s="50" t="s">
        <v>37</v>
      </c>
      <c r="E164" s="58" t="s">
        <v>10</v>
      </c>
      <c r="F164" s="51" t="s">
        <v>45</v>
      </c>
      <c r="G164" s="52" t="s">
        <v>40</v>
      </c>
    </row>
    <row r="165" spans="1:7" ht="18.75">
      <c r="A165" s="53" t="s">
        <v>33</v>
      </c>
      <c r="B165" s="46"/>
      <c r="C165" s="46"/>
      <c r="D165" s="46"/>
      <c r="E165" s="46"/>
      <c r="F165" s="47"/>
      <c r="G165" s="48"/>
    </row>
    <row r="166" spans="1:7" ht="15">
      <c r="A166" s="49" t="str">
        <f ca="1">IFERROR(__xludf.DUMMYFUNCTION("""COMPUTED_VALUE"""),"Abortiv materialın bakterioloji müayinəsi")</f>
        <v>Abortiv materialın bakterioloji müayinəsi</v>
      </c>
      <c r="B166" s="50" t="s">
        <v>67</v>
      </c>
      <c r="C166" s="50" t="s">
        <v>68</v>
      </c>
      <c r="D166" s="50" t="s">
        <v>37</v>
      </c>
      <c r="E166" s="50" t="s">
        <v>69</v>
      </c>
      <c r="F166" s="51" t="s">
        <v>49</v>
      </c>
      <c r="G166" s="52"/>
    </row>
    <row r="167" spans="1:7" ht="15">
      <c r="A167" s="45" t="str">
        <f ca="1">IFERROR(__xludf.DUMMYFUNCTION("""COMPUTED_VALUE"""),"Abses möhtəviyyatnın əkilməsi")</f>
        <v>Abses möhtəviyyatnın əkilməsi</v>
      </c>
      <c r="B167" s="46" t="s">
        <v>67</v>
      </c>
      <c r="C167" s="46" t="s">
        <v>68</v>
      </c>
      <c r="D167" s="46" t="s">
        <v>37</v>
      </c>
      <c r="E167" s="46" t="s">
        <v>69</v>
      </c>
      <c r="F167" s="47" t="s">
        <v>48</v>
      </c>
      <c r="G167" s="48" t="s">
        <v>70</v>
      </c>
    </row>
    <row r="168" spans="1:7" ht="15">
      <c r="A168" s="49" t="str">
        <f ca="1">IFERROR(__xludf.DUMMYFUNCTION("""COMPUTED_VALUE"""),"Ana südünün bakterioloji müayinəsi (sağ sol)")</f>
        <v>Ana südünün bakterioloji müayinəsi (sağ sol)</v>
      </c>
      <c r="B168" s="50" t="s">
        <v>67</v>
      </c>
      <c r="C168" s="50" t="s">
        <v>68</v>
      </c>
      <c r="D168" s="50" t="s">
        <v>37</v>
      </c>
      <c r="E168" s="50" t="s">
        <v>69</v>
      </c>
      <c r="F168" s="51" t="s">
        <v>71</v>
      </c>
      <c r="G168" s="52" t="s">
        <v>70</v>
      </c>
    </row>
    <row r="169" spans="1:7" ht="15">
      <c r="A169" s="45" t="str">
        <f ca="1">IFERROR(__xludf.DUMMYFUNCTION("""COMPUTED_VALUE"""),"Assit mayesinin əkilməsi")</f>
        <v>Assit mayesinin əkilməsi</v>
      </c>
      <c r="B169" s="46" t="s">
        <v>67</v>
      </c>
      <c r="C169" s="46" t="s">
        <v>68</v>
      </c>
      <c r="D169" s="46" t="s">
        <v>37</v>
      </c>
      <c r="E169" s="46" t="s">
        <v>69</v>
      </c>
      <c r="F169" s="47"/>
      <c r="G169" s="48" t="s">
        <v>72</v>
      </c>
    </row>
    <row r="170" spans="1:7" ht="15">
      <c r="A170" s="49" t="str">
        <f ca="1">IFERROR(__xludf.DUMMYFUNCTION("""COMPUTED_VALUE"""),"Ağız boşluğundan sıyrıntının bakterioloji müayinəsi")</f>
        <v>Ağız boşluğundan sıyrıntının bakterioloji müayinəsi</v>
      </c>
      <c r="B170" s="50" t="s">
        <v>67</v>
      </c>
      <c r="C170" s="50" t="s">
        <v>73</v>
      </c>
      <c r="D170" s="50" t="s">
        <v>37</v>
      </c>
      <c r="E170" s="50" t="s">
        <v>69</v>
      </c>
      <c r="F170" s="51" t="s">
        <v>49</v>
      </c>
      <c r="G170" s="52" t="s">
        <v>70</v>
      </c>
    </row>
    <row r="171" spans="1:7" ht="15">
      <c r="A171" s="45" t="str">
        <f ca="1">IFERROR(__xludf.DUMMYFUNCTION("""COMPUTED_VALUE"""),"BAL (broxo-alveolyar lavaj) əkilməsi ekspress")</f>
        <v>BAL (broxo-alveolyar lavaj) əkilməsi ekspress</v>
      </c>
      <c r="B171" s="46" t="s">
        <v>67</v>
      </c>
      <c r="C171" s="46" t="s">
        <v>68</v>
      </c>
      <c r="D171" s="46" t="s">
        <v>37</v>
      </c>
      <c r="E171" s="46" t="s">
        <v>69</v>
      </c>
      <c r="F171" s="47"/>
      <c r="G171" s="48" t="s">
        <v>70</v>
      </c>
    </row>
    <row r="172" spans="1:7" ht="15">
      <c r="A172" s="49" t="str">
        <f ca="1">IFERROR(__xludf.DUMMYFUNCTION("""COMPUTED_VALUE"""),"Burun boşluğu sıyrıntının bakterioloji müayinəsi")</f>
        <v>Burun boşluğu sıyrıntının bakterioloji müayinəsi</v>
      </c>
      <c r="B172" s="50" t="s">
        <v>67</v>
      </c>
      <c r="C172" s="50" t="s">
        <v>73</v>
      </c>
      <c r="D172" s="50" t="s">
        <v>37</v>
      </c>
      <c r="E172" s="50" t="s">
        <v>69</v>
      </c>
      <c r="F172" s="51" t="s">
        <v>49</v>
      </c>
      <c r="G172" s="52" t="s">
        <v>70</v>
      </c>
    </row>
    <row r="173" spans="1:7" ht="15">
      <c r="A173" s="45" t="str">
        <f ca="1">IFERROR(__xludf.DUMMYFUNCTION("""COMPUTED_VALUE"""),"Bəlğəmin bakterioloji müayinəsi")</f>
        <v>Bəlğəmin bakterioloji müayinəsi</v>
      </c>
      <c r="B173" s="46" t="s">
        <v>67</v>
      </c>
      <c r="C173" s="46" t="s">
        <v>68</v>
      </c>
      <c r="D173" s="46" t="s">
        <v>37</v>
      </c>
      <c r="E173" s="46" t="s">
        <v>69</v>
      </c>
      <c r="F173" s="47" t="s">
        <v>49</v>
      </c>
      <c r="G173" s="48" t="s">
        <v>70</v>
      </c>
    </row>
    <row r="174" spans="1:7" ht="15">
      <c r="A174" s="49" t="str">
        <f ca="1">IFERROR(__xludf.DUMMYFUNCTION("""COMPUTED_VALUE"""),"Dırnağın mikoloji əkilməsi")</f>
        <v>Dırnağın mikoloji əkilməsi</v>
      </c>
      <c r="B174" s="50" t="s">
        <v>67</v>
      </c>
      <c r="C174" s="50" t="s">
        <v>74</v>
      </c>
      <c r="D174" s="50" t="s">
        <v>37</v>
      </c>
      <c r="E174" s="50" t="s">
        <v>75</v>
      </c>
      <c r="F174" s="51" t="s">
        <v>49</v>
      </c>
      <c r="G174" s="52" t="s">
        <v>70</v>
      </c>
    </row>
    <row r="175" spans="1:7" ht="15">
      <c r="A175" s="45" t="str">
        <f ca="1">IFERROR(__xludf.DUMMYFUNCTION("""COMPUTED_VALUE"""),"Disbakterioz (nəcis)")</f>
        <v>Disbakterioz (nəcis)</v>
      </c>
      <c r="B175" s="46" t="s">
        <v>67</v>
      </c>
      <c r="C175" s="46" t="s">
        <v>65</v>
      </c>
      <c r="D175" s="46" t="s">
        <v>37</v>
      </c>
      <c r="E175" s="46" t="s">
        <v>69</v>
      </c>
      <c r="F175" s="47" t="s">
        <v>66</v>
      </c>
      <c r="G175" s="48" t="s">
        <v>47</v>
      </c>
    </row>
    <row r="176" spans="1:7" ht="15">
      <c r="A176" s="49" t="str">
        <f ca="1">IFERROR(__xludf.DUMMYFUNCTION("""COMPUTED_VALUE"""),"Dəri qaşıntısının mikoloji əkilməsi")</f>
        <v>Dəri qaşıntısının mikoloji əkilməsi</v>
      </c>
      <c r="B176" s="50" t="s">
        <v>67</v>
      </c>
      <c r="C176" s="50" t="s">
        <v>68</v>
      </c>
      <c r="D176" s="50" t="s">
        <v>37</v>
      </c>
      <c r="E176" s="50" t="s">
        <v>75</v>
      </c>
      <c r="F176" s="51" t="s">
        <v>49</v>
      </c>
      <c r="G176" s="52" t="s">
        <v>76</v>
      </c>
    </row>
    <row r="177" spans="1:7" ht="15">
      <c r="A177" s="45" t="str">
        <f ca="1">IFERROR(__xludf.DUMMYFUNCTION("""COMPUTED_VALUE"""),"Eyakulyatın (spermanın) bakterioloji müayinəsi")</f>
        <v>Eyakulyatın (spermanın) bakterioloji müayinəsi</v>
      </c>
      <c r="B177" s="46" t="s">
        <v>67</v>
      </c>
      <c r="C177" s="46" t="s">
        <v>68</v>
      </c>
      <c r="D177" s="46" t="s">
        <v>37</v>
      </c>
      <c r="E177" s="46" t="s">
        <v>69</v>
      </c>
      <c r="F177" s="47" t="s">
        <v>77</v>
      </c>
      <c r="G177" s="48" t="s">
        <v>47</v>
      </c>
    </row>
    <row r="178" spans="1:7" ht="15">
      <c r="A178" s="49" t="str">
        <f ca="1">IFERROR(__xludf.DUMMYFUNCTION("""COMPUTED_VALUE"""),"Konyuktivadan sıyrıntının bakterioloji müayinəsi")</f>
        <v>Konyuktivadan sıyrıntının bakterioloji müayinəsi</v>
      </c>
      <c r="B178" s="50" t="s">
        <v>67</v>
      </c>
      <c r="C178" s="50" t="s">
        <v>73</v>
      </c>
      <c r="D178" s="50" t="s">
        <v>37</v>
      </c>
      <c r="E178" s="50" t="s">
        <v>69</v>
      </c>
      <c r="F178" s="51" t="s">
        <v>49</v>
      </c>
      <c r="G178" s="52" t="s">
        <v>70</v>
      </c>
    </row>
    <row r="179" spans="1:7" ht="15">
      <c r="A179" s="45" t="str">
        <f ca="1">IFERROR(__xludf.DUMMYFUNCTION("""COMPUTED_VALUE"""),"Mycoplasma və ureaplazma əkilməsi (eyakulat)+antibiotikoqr.")</f>
        <v>Mycoplasma və ureaplazma əkilməsi (eyakulat)+antibiotikoqr.</v>
      </c>
      <c r="B179" s="46" t="s">
        <v>67</v>
      </c>
      <c r="C179" s="46" t="s">
        <v>68</v>
      </c>
      <c r="D179" s="46" t="s">
        <v>37</v>
      </c>
      <c r="E179" s="46" t="s">
        <v>78</v>
      </c>
      <c r="F179" s="47" t="s">
        <v>79</v>
      </c>
      <c r="G179" s="48" t="s">
        <v>70</v>
      </c>
    </row>
    <row r="180" spans="1:7" ht="25.5">
      <c r="A180" s="49" t="str">
        <f ca="1">IFERROR(__xludf.DUMMYFUNCTION("""COMPUTED_VALUE"""),"Mycoplasma və ureaplazma əkilməsi+antibiotikoqramma (sidik)")</f>
        <v>Mycoplasma və ureaplazma əkilməsi+antibiotikoqramma (sidik)</v>
      </c>
      <c r="B180" s="50" t="s">
        <v>67</v>
      </c>
      <c r="C180" s="50" t="s">
        <v>41</v>
      </c>
      <c r="D180" s="50" t="s">
        <v>37</v>
      </c>
      <c r="E180" s="50" t="s">
        <v>78</v>
      </c>
      <c r="F180" s="51" t="s">
        <v>43</v>
      </c>
      <c r="G180" s="52" t="s">
        <v>80</v>
      </c>
    </row>
    <row r="181" spans="1:7" ht="15">
      <c r="A181" s="45" t="str">
        <f ca="1">IFERROR(__xludf.DUMMYFUNCTION("""COMPUTED_VALUE"""),"Mycoplasma və ureaplazma əkilməsi+antibiotikoqramma (uretra)")</f>
        <v>Mycoplasma və ureaplazma əkilməsi+antibiotikoqramma (uretra)</v>
      </c>
      <c r="B181" s="46" t="s">
        <v>67</v>
      </c>
      <c r="C181" s="46" t="s">
        <v>73</v>
      </c>
      <c r="D181" s="46" t="s">
        <v>37</v>
      </c>
      <c r="E181" s="46" t="s">
        <v>78</v>
      </c>
      <c r="F181" s="47" t="s">
        <v>81</v>
      </c>
      <c r="G181" s="48" t="s">
        <v>76</v>
      </c>
    </row>
    <row r="182" spans="1:7" ht="15">
      <c r="A182" s="49" t="str">
        <f ca="1">IFERROR(__xludf.DUMMYFUNCTION("""COMPUTED_VALUE"""),"Mycoplasma və ureaplazma əkilməsi+antibiotikoqramma (uşaqlıq yolu)")</f>
        <v>Mycoplasma və ureaplazma əkilməsi+antibiotikoqramma (uşaqlıq yolu)</v>
      </c>
      <c r="B182" s="50" t="s">
        <v>67</v>
      </c>
      <c r="C182" s="50" t="s">
        <v>73</v>
      </c>
      <c r="D182" s="50" t="s">
        <v>37</v>
      </c>
      <c r="E182" s="50" t="s">
        <v>78</v>
      </c>
      <c r="F182" s="51" t="s">
        <v>49</v>
      </c>
      <c r="G182" s="52" t="s">
        <v>76</v>
      </c>
    </row>
    <row r="183" spans="1:7" ht="25.5">
      <c r="A183" s="45" t="str">
        <f ca="1">IFERROR(__xludf.DUMMYFUNCTION("""COMPUTED_VALUE"""),"Mycoplasma və ureaplazma əkilməsi+antibiotikoqramma(eyakulat)")</f>
        <v>Mycoplasma və ureaplazma əkilməsi+antibiotikoqramma(eyakulat)</v>
      </c>
      <c r="B183" s="46" t="s">
        <v>67</v>
      </c>
      <c r="C183" s="46" t="s">
        <v>68</v>
      </c>
      <c r="D183" s="46" t="s">
        <v>37</v>
      </c>
      <c r="E183" s="46" t="s">
        <v>78</v>
      </c>
      <c r="F183" s="47" t="s">
        <v>82</v>
      </c>
      <c r="G183" s="48" t="s">
        <v>83</v>
      </c>
    </row>
    <row r="184" spans="1:7" ht="15">
      <c r="A184" s="49" t="str">
        <f ca="1">IFERROR(__xludf.DUMMYFUNCTION("""COMPUTED_VALUE"""),"Nəcisin bakterioloji müayinəsi")</f>
        <v>Nəcisin bakterioloji müayinəsi</v>
      </c>
      <c r="B184" s="50" t="s">
        <v>67</v>
      </c>
      <c r="C184" s="50" t="s">
        <v>65</v>
      </c>
      <c r="D184" s="50" t="s">
        <v>37</v>
      </c>
      <c r="E184" s="50" t="s">
        <v>69</v>
      </c>
      <c r="F184" s="51" t="s">
        <v>49</v>
      </c>
      <c r="G184" s="52" t="s">
        <v>70</v>
      </c>
    </row>
    <row r="185" spans="1:7" ht="25.5">
      <c r="A185" s="45" t="str">
        <f ca="1">IFERROR(__xludf.DUMMYFUNCTION("""COMPUTED_VALUE"""),"Nəcisin bakterioloji müayinəsi + antibiotikoqramma")</f>
        <v>Nəcisin bakterioloji müayinəsi + antibiotikoqramma</v>
      </c>
      <c r="B185" s="46" t="s">
        <v>67</v>
      </c>
      <c r="C185" s="46" t="s">
        <v>65</v>
      </c>
      <c r="D185" s="46" t="s">
        <v>37</v>
      </c>
      <c r="E185" s="46" t="s">
        <v>69</v>
      </c>
      <c r="F185" s="47" t="s">
        <v>49</v>
      </c>
      <c r="G185" s="48" t="s">
        <v>83</v>
      </c>
    </row>
    <row r="186" spans="1:7" ht="25.5">
      <c r="A186" s="49" t="str">
        <f ca="1">IFERROR(__xludf.DUMMYFUNCTION("""COMPUTED_VALUE"""),"Onurğa beyin mayesinin (likvor) bakterioloji müayinəsi + antibiotikoqramma")</f>
        <v>Onurğa beyin mayesinin (likvor) bakterioloji müayinəsi + antibiotikoqramma</v>
      </c>
      <c r="B186" s="50" t="s">
        <v>67</v>
      </c>
      <c r="C186" s="50" t="s">
        <v>68</v>
      </c>
      <c r="D186" s="50" t="s">
        <v>37</v>
      </c>
      <c r="E186" s="50" t="s">
        <v>69</v>
      </c>
      <c r="F186" s="51" t="s">
        <v>48</v>
      </c>
      <c r="G186" s="52" t="s">
        <v>84</v>
      </c>
    </row>
    <row r="187" spans="1:7" ht="25.5">
      <c r="A187" s="45" t="str">
        <f ca="1">IFERROR(__xludf.DUMMYFUNCTION("""COMPUTED_VALUE"""),"Oynaq kisəsi mayesinin bakterioloji müayinəsi")</f>
        <v>Oynaq kisəsi mayesinin bakterioloji müayinəsi</v>
      </c>
      <c r="B187" s="46" t="s">
        <v>67</v>
      </c>
      <c r="C187" s="46" t="s">
        <v>68</v>
      </c>
      <c r="D187" s="46" t="s">
        <v>37</v>
      </c>
      <c r="E187" s="46" t="s">
        <v>69</v>
      </c>
      <c r="F187" s="47" t="s">
        <v>49</v>
      </c>
      <c r="G187" s="48" t="s">
        <v>83</v>
      </c>
    </row>
    <row r="188" spans="1:7" ht="29.25" customHeight="1">
      <c r="A188" s="49" t="str">
        <f ca="1">IFERROR(__xludf.DUMMYFUNCTION("""COMPUTED_VALUE"""),"Perikard mayesinin əkilməsi")</f>
        <v>Perikard mayesinin əkilməsi</v>
      </c>
      <c r="B188" s="50" t="s">
        <v>67</v>
      </c>
      <c r="C188" s="50" t="s">
        <v>68</v>
      </c>
      <c r="D188" s="50" t="s">
        <v>37</v>
      </c>
      <c r="E188" s="50" t="s">
        <v>69</v>
      </c>
      <c r="F188" s="51" t="s">
        <v>85</v>
      </c>
      <c r="G188" s="52" t="s">
        <v>80</v>
      </c>
    </row>
    <row r="189" spans="1:7" ht="15">
      <c r="A189" s="45" t="str">
        <f ca="1">IFERROR(__xludf.DUMMYFUNCTION("""COMPUTED_VALUE"""),"Periton mayesinin əkilməsi")</f>
        <v>Periton mayesinin əkilməsi</v>
      </c>
      <c r="B189" s="46" t="s">
        <v>67</v>
      </c>
      <c r="C189" s="46" t="s">
        <v>68</v>
      </c>
      <c r="D189" s="46" t="s">
        <v>37</v>
      </c>
      <c r="E189" s="46" t="s">
        <v>69</v>
      </c>
      <c r="F189" s="47" t="s">
        <v>86</v>
      </c>
      <c r="G189" s="48" t="s">
        <v>47</v>
      </c>
    </row>
    <row r="190" spans="1:7" ht="15">
      <c r="A190" s="49" t="str">
        <f ca="1">IFERROR(__xludf.DUMMYFUNCTION("""COMPUTED_VALUE"""),"Plevral mayenin bakterioloji müayinəsi")</f>
        <v>Plevral mayenin bakterioloji müayinəsi</v>
      </c>
      <c r="B190" s="50" t="s">
        <v>67</v>
      </c>
      <c r="C190" s="50" t="s">
        <v>68</v>
      </c>
      <c r="D190" s="50" t="s">
        <v>37</v>
      </c>
      <c r="E190" s="50" t="s">
        <v>69</v>
      </c>
      <c r="F190" s="51" t="s">
        <v>71</v>
      </c>
      <c r="G190" s="52"/>
    </row>
    <row r="191" spans="1:7" ht="25.5">
      <c r="A191" s="45" t="str">
        <f ca="1">IFERROR(__xludf.DUMMYFUNCTION("""COMPUTED_VALUE"""),"Prostat vəzi şirəsinin bakterioloji müayinəsi")</f>
        <v>Prostat vəzi şirəsinin bakterioloji müayinəsi</v>
      </c>
      <c r="B191" s="46" t="s">
        <v>67</v>
      </c>
      <c r="C191" s="46" t="s">
        <v>73</v>
      </c>
      <c r="D191" s="46" t="s">
        <v>37</v>
      </c>
      <c r="E191" s="46" t="s">
        <v>69</v>
      </c>
      <c r="F191" s="47" t="s">
        <v>71</v>
      </c>
      <c r="G191" s="48" t="s">
        <v>83</v>
      </c>
    </row>
    <row r="192" spans="1:7" ht="25.5">
      <c r="A192" s="49" t="str">
        <f ca="1">IFERROR(__xludf.DUMMYFUNCTION("""COMPUTED_VALUE"""),"Qanın sterilliyi ( aerob)")</f>
        <v>Qanın sterilliyi ( aerob)</v>
      </c>
      <c r="B192" s="50" t="s">
        <v>87</v>
      </c>
      <c r="C192" s="50" t="s">
        <v>88</v>
      </c>
      <c r="D192" s="50" t="s">
        <v>37</v>
      </c>
      <c r="E192" s="50" t="s">
        <v>89</v>
      </c>
      <c r="F192" s="51" t="s">
        <v>90</v>
      </c>
      <c r="G192" s="52" t="s">
        <v>70</v>
      </c>
    </row>
    <row r="193" spans="1:7" ht="15">
      <c r="A193" s="45" t="str">
        <f ca="1">IFERROR(__xludf.DUMMYFUNCTION("""COMPUTED_VALUE"""),"Saçın mikoloji əkilməsi")</f>
        <v>Saçın mikoloji əkilməsi</v>
      </c>
      <c r="B193" s="46" t="s">
        <v>67</v>
      </c>
      <c r="C193" s="46" t="s">
        <v>74</v>
      </c>
      <c r="D193" s="46" t="s">
        <v>37</v>
      </c>
      <c r="E193" s="46" t="s">
        <v>75</v>
      </c>
      <c r="F193" s="47" t="s">
        <v>91</v>
      </c>
      <c r="G193" s="48" t="s">
        <v>70</v>
      </c>
    </row>
    <row r="194" spans="1:7" ht="15">
      <c r="A194" s="49" t="str">
        <f ca="1">IFERROR(__xludf.DUMMYFUNCTION("""COMPUTED_VALUE"""),"Servikal kanal sıyrıntısının bakterioloji müayinəsi")</f>
        <v>Servikal kanal sıyrıntısının bakterioloji müayinəsi</v>
      </c>
      <c r="B194" s="50" t="s">
        <v>67</v>
      </c>
      <c r="C194" s="50" t="s">
        <v>73</v>
      </c>
      <c r="D194" s="50" t="s">
        <v>37</v>
      </c>
      <c r="E194" s="50" t="s">
        <v>69</v>
      </c>
      <c r="F194" s="51"/>
      <c r="G194" s="52" t="s">
        <v>70</v>
      </c>
    </row>
    <row r="195" spans="1:7" ht="25.5">
      <c r="A195" s="45" t="str">
        <f ca="1">IFERROR(__xludf.DUMMYFUNCTION("""COMPUTED_VALUE"""),"Sidiyin bakterioloji müayinəsi")</f>
        <v>Sidiyin bakterioloji müayinəsi</v>
      </c>
      <c r="B195" s="46" t="s">
        <v>67</v>
      </c>
      <c r="C195" s="46" t="s">
        <v>41</v>
      </c>
      <c r="D195" s="46" t="s">
        <v>37</v>
      </c>
      <c r="E195" s="46" t="s">
        <v>69</v>
      </c>
      <c r="F195" s="47" t="s">
        <v>92</v>
      </c>
      <c r="G195" s="48" t="s">
        <v>83</v>
      </c>
    </row>
    <row r="196" spans="1:7" ht="25.5">
      <c r="A196" s="49" t="str">
        <f ca="1">IFERROR(__xludf.DUMMYFUNCTION("""COMPUTED_VALUE"""),"Sinus aspiratnın əkilməsi ")</f>
        <v xml:space="preserve">Sinus aspiratnın əkilməsi </v>
      </c>
      <c r="B196" s="50" t="s">
        <v>67</v>
      </c>
      <c r="C196" s="50" t="s">
        <v>73</v>
      </c>
      <c r="D196" s="50" t="s">
        <v>37</v>
      </c>
      <c r="E196" s="50" t="s">
        <v>69</v>
      </c>
      <c r="F196" s="51" t="s">
        <v>49</v>
      </c>
      <c r="G196" s="52" t="s">
        <v>83</v>
      </c>
    </row>
    <row r="197" spans="1:7" ht="15">
      <c r="A197" s="45" t="str">
        <f ca="1">IFERROR(__xludf.DUMMYFUNCTION("""COMPUTED_VALUE"""),"Traxeal aspirat əkilməsi")</f>
        <v>Traxeal aspirat əkilməsi</v>
      </c>
      <c r="B197" s="46" t="s">
        <v>67</v>
      </c>
      <c r="C197" s="46" t="s">
        <v>68</v>
      </c>
      <c r="D197" s="46" t="s">
        <v>37</v>
      </c>
      <c r="E197" s="46" t="s">
        <v>69</v>
      </c>
      <c r="F197" s="47" t="s">
        <v>49</v>
      </c>
      <c r="G197" s="48" t="s">
        <v>70</v>
      </c>
    </row>
    <row r="198" spans="1:7" ht="25.5">
      <c r="A198" s="49" t="str">
        <f ca="1">IFERROR(__xludf.DUMMYFUNCTION("""COMPUTED_VALUE"""),"Uretradan sıyrıntının bakterioloji müayinəsi")</f>
        <v>Uretradan sıyrıntının bakterioloji müayinəsi</v>
      </c>
      <c r="B198" s="50" t="s">
        <v>67</v>
      </c>
      <c r="C198" s="50" t="s">
        <v>73</v>
      </c>
      <c r="D198" s="50" t="s">
        <v>37</v>
      </c>
      <c r="E198" s="50" t="s">
        <v>69</v>
      </c>
      <c r="F198" s="51" t="s">
        <v>49</v>
      </c>
      <c r="G198" s="52" t="s">
        <v>83</v>
      </c>
    </row>
    <row r="199" spans="1:7" ht="20.100000000000001" customHeight="1">
      <c r="A199" s="45" t="str">
        <f ca="1">IFERROR(__xludf.DUMMYFUNCTION("""COMPUTED_VALUE"""),"Vaginal sıyrıntının bakterial müayinəsi")</f>
        <v>Vaginal sıyrıntının bakterial müayinəsi</v>
      </c>
      <c r="B199" s="46" t="s">
        <v>67</v>
      </c>
      <c r="C199" s="46" t="s">
        <v>73</v>
      </c>
      <c r="D199" s="46" t="s">
        <v>37</v>
      </c>
      <c r="E199" s="46" t="s">
        <v>69</v>
      </c>
      <c r="F199" s="47" t="s">
        <v>49</v>
      </c>
      <c r="G199" s="48" t="s">
        <v>93</v>
      </c>
    </row>
    <row r="200" spans="1:7" ht="20.100000000000001" customHeight="1">
      <c r="A200" s="49" t="str">
        <f ca="1">IFERROR(__xludf.DUMMYFUNCTION("""COMPUTED_VALUE"""),"Xarici qulaq keçəcəyi sıyrıntısının bakterioloji müayinəsi")</f>
        <v>Xarici qulaq keçəcəyi sıyrıntısının bakterioloji müayinəsi</v>
      </c>
      <c r="B200" s="50" t="s">
        <v>67</v>
      </c>
      <c r="C200" s="50" t="s">
        <v>73</v>
      </c>
      <c r="D200" s="50" t="s">
        <v>37</v>
      </c>
      <c r="E200" s="50" t="s">
        <v>69</v>
      </c>
      <c r="F200" s="51" t="s">
        <v>49</v>
      </c>
      <c r="G200" s="52" t="s">
        <v>70</v>
      </c>
    </row>
    <row r="201" spans="1:7" ht="20.100000000000001" customHeight="1">
      <c r="A201" s="45" t="str">
        <f ca="1">IFERROR(__xludf.DUMMYFUNCTION("""COMPUTED_VALUE"""),"Yara möhtəviyyatnın əkilməsi")</f>
        <v>Yara möhtəviyyatnın əkilməsi</v>
      </c>
      <c r="B201" s="46" t="s">
        <v>67</v>
      </c>
      <c r="C201" s="46" t="s">
        <v>73</v>
      </c>
      <c r="D201" s="46" t="s">
        <v>37</v>
      </c>
      <c r="E201" s="46" t="s">
        <v>69</v>
      </c>
      <c r="F201" s="47"/>
      <c r="G201" s="48"/>
    </row>
    <row r="202" spans="1:7" ht="20.100000000000001" customHeight="1">
      <c r="A202" s="49" t="str">
        <f ca="1">IFERROR(__xludf.DUMMYFUNCTION("""COMPUTED_VALUE"""),"Öd kisəsi möhtəviyyatının bakterioloji müayinəsi")</f>
        <v>Öd kisəsi möhtəviyyatının bakterioloji müayinəsi</v>
      </c>
      <c r="B202" s="50" t="s">
        <v>67</v>
      </c>
      <c r="C202" s="50" t="s">
        <v>68</v>
      </c>
      <c r="D202" s="50" t="s">
        <v>37</v>
      </c>
      <c r="E202" s="50" t="s">
        <v>69</v>
      </c>
      <c r="F202" s="51" t="s">
        <v>48</v>
      </c>
      <c r="G202" s="52"/>
    </row>
    <row r="203" spans="1:7" ht="20.100000000000001" customHeight="1">
      <c r="A203" s="66" t="s">
        <v>111</v>
      </c>
      <c r="B203" s="50"/>
      <c r="C203" s="50"/>
      <c r="D203" s="50"/>
      <c r="E203" s="50"/>
      <c r="F203" s="51"/>
      <c r="G203" s="52"/>
    </row>
    <row r="204" spans="1:7" ht="20.100000000000001" customHeight="1">
      <c r="A204" s="45" t="s">
        <v>110</v>
      </c>
      <c r="B204" s="46" t="s">
        <v>67</v>
      </c>
      <c r="C204" s="46" t="s">
        <v>73</v>
      </c>
      <c r="D204" s="46" t="s">
        <v>37</v>
      </c>
      <c r="E204" s="46" t="s">
        <v>69</v>
      </c>
      <c r="F204" s="47" t="s">
        <v>49</v>
      </c>
      <c r="G204" s="48"/>
    </row>
    <row r="205" spans="1:7" ht="20.100000000000001" customHeight="1">
      <c r="A205" s="49" t="str">
        <f ca="1">IFERROR(__xludf.DUMMYFUNCTION("""COMPUTED_VALUE"""),"Demodex gənəsinin mikroskopik müayinəsi (baş tükü)")</f>
        <v>Demodex gənəsinin mikroskopik müayinəsi (baş tükü)</v>
      </c>
      <c r="B205" s="50" t="s">
        <v>94</v>
      </c>
      <c r="C205" s="50" t="s">
        <v>95</v>
      </c>
      <c r="D205" s="50" t="s">
        <v>37</v>
      </c>
      <c r="E205" s="50" t="s">
        <v>38</v>
      </c>
      <c r="F205" s="51" t="s">
        <v>49</v>
      </c>
      <c r="G205" s="52"/>
    </row>
    <row r="206" spans="1:7" ht="20.100000000000001" customHeight="1">
      <c r="A206" s="45" t="str">
        <f ca="1">IFERROR(__xludf.DUMMYFUNCTION("""COMPUTED_VALUE"""),"Demodex gənəsinin mikroskopik müayinəsi (dəri)")</f>
        <v>Demodex gənəsinin mikroskopik müayinəsi (dəri)</v>
      </c>
      <c r="B206" s="46" t="s">
        <v>94</v>
      </c>
      <c r="C206" s="46" t="s">
        <v>95</v>
      </c>
      <c r="D206" s="46" t="s">
        <v>37</v>
      </c>
      <c r="E206" s="46" t="s">
        <v>38</v>
      </c>
      <c r="F206" s="47" t="s">
        <v>49</v>
      </c>
      <c r="G206" s="48" t="s">
        <v>47</v>
      </c>
    </row>
    <row r="207" spans="1:7" ht="20.100000000000001" customHeight="1">
      <c r="A207" s="49" t="str">
        <f ca="1">IFERROR(__xludf.DUMMYFUNCTION("""COMPUTED_VALUE"""),"Demodex gənəsinin mikroskopik müayinəsi (kiprik)")</f>
        <v>Demodex gənəsinin mikroskopik müayinəsi (kiprik)</v>
      </c>
      <c r="B207" s="50" t="s">
        <v>94</v>
      </c>
      <c r="C207" s="50" t="s">
        <v>95</v>
      </c>
      <c r="D207" s="50" t="s">
        <v>37</v>
      </c>
      <c r="E207" s="50" t="s">
        <v>38</v>
      </c>
      <c r="F207" s="51" t="s">
        <v>49</v>
      </c>
      <c r="G207" s="52" t="s">
        <v>47</v>
      </c>
    </row>
    <row r="208" spans="1:7" ht="20.100000000000001" customHeight="1">
      <c r="A208" s="45" t="str">
        <f ca="1">IFERROR(__xludf.DUMMYFUNCTION("""COMPUTED_VALUE"""),"Dırnağın patogen göbələkləri (Ayaq dırnağı)")</f>
        <v>Dırnağın patogen göbələkləri (Ayaq dırnağı)</v>
      </c>
      <c r="B208" s="46" t="s">
        <v>94</v>
      </c>
      <c r="C208" s="46" t="s">
        <v>95</v>
      </c>
      <c r="D208" s="46" t="s">
        <v>37</v>
      </c>
      <c r="E208" s="46" t="s">
        <v>38</v>
      </c>
      <c r="F208" s="47" t="s">
        <v>49</v>
      </c>
      <c r="G208" s="48" t="s">
        <v>47</v>
      </c>
    </row>
    <row r="209" spans="1:7" ht="20.100000000000001" customHeight="1">
      <c r="A209" s="49" t="str">
        <f ca="1">IFERROR(__xludf.DUMMYFUNCTION("""COMPUTED_VALUE"""),"Dırnağın patogen göbələklərə görə müayinəsi (əl)")</f>
        <v>Dırnağın patogen göbələklərə görə müayinəsi (əl)</v>
      </c>
      <c r="B209" s="50" t="s">
        <v>94</v>
      </c>
      <c r="C209" s="50" t="s">
        <v>95</v>
      </c>
      <c r="D209" s="50" t="s">
        <v>37</v>
      </c>
      <c r="E209" s="50" t="s">
        <v>38</v>
      </c>
      <c r="F209" s="51" t="s">
        <v>49</v>
      </c>
      <c r="G209" s="52" t="s">
        <v>47</v>
      </c>
    </row>
    <row r="210" spans="1:7" ht="20.100000000000001" customHeight="1">
      <c r="A210" s="45" t="str">
        <f ca="1">IFERROR(__xludf.DUMMYFUNCTION("""COMPUTED_VALUE"""),"Dəri patogen göbələklər(baş dərisi)")</f>
        <v>Dəri patogen göbələklər(baş dərisi)</v>
      </c>
      <c r="B210" s="46" t="s">
        <v>94</v>
      </c>
      <c r="C210" s="46" t="s">
        <v>95</v>
      </c>
      <c r="D210" s="46" t="s">
        <v>37</v>
      </c>
      <c r="E210" s="46" t="s">
        <v>38</v>
      </c>
      <c r="F210" s="47" t="s">
        <v>49</v>
      </c>
      <c r="G210" s="48" t="s">
        <v>47</v>
      </c>
    </row>
    <row r="211" spans="1:7" ht="20.100000000000001" customHeight="1">
      <c r="A211" s="49" t="str">
        <f ca="1">IFERROR(__xludf.DUMMYFUNCTION("""COMPUTED_VALUE"""),"Dəri patogen göbələklərə(ayaq dərisi)")</f>
        <v>Dəri patogen göbələklərə(ayaq dərisi)</v>
      </c>
      <c r="B211" s="50" t="s">
        <v>94</v>
      </c>
      <c r="C211" s="50" t="s">
        <v>95</v>
      </c>
      <c r="D211" s="50" t="s">
        <v>37</v>
      </c>
      <c r="E211" s="50" t="s">
        <v>38</v>
      </c>
      <c r="F211" s="51" t="s">
        <v>49</v>
      </c>
      <c r="G211" s="52" t="s">
        <v>47</v>
      </c>
    </row>
    <row r="212" spans="1:7" ht="20.100000000000001" customHeight="1">
      <c r="A212" s="45" t="str">
        <f ca="1">IFERROR(__xludf.DUMMYFUNCTION("""COMPUTED_VALUE"""),"Dəri patogen göbələklərə(bel dərisi)")</f>
        <v>Dəri patogen göbələklərə(bel dərisi)</v>
      </c>
      <c r="B212" s="46" t="s">
        <v>94</v>
      </c>
      <c r="C212" s="46" t="s">
        <v>95</v>
      </c>
      <c r="D212" s="46" t="s">
        <v>37</v>
      </c>
      <c r="E212" s="46" t="s">
        <v>38</v>
      </c>
      <c r="F212" s="47" t="s">
        <v>49</v>
      </c>
      <c r="G212" s="48" t="s">
        <v>47</v>
      </c>
    </row>
    <row r="213" spans="1:7" ht="20.100000000000001" customHeight="1">
      <c r="A213" s="49" t="str">
        <f ca="1">IFERROR(__xludf.DUMMYFUNCTION("""COMPUTED_VALUE"""),"Dəri patogen göbələklərə(qarın dərisi)")</f>
        <v>Dəri patogen göbələklərə(qarın dərisi)</v>
      </c>
      <c r="B213" s="50" t="s">
        <v>94</v>
      </c>
      <c r="C213" s="50" t="s">
        <v>95</v>
      </c>
      <c r="D213" s="50" t="s">
        <v>37</v>
      </c>
      <c r="E213" s="50" t="s">
        <v>38</v>
      </c>
      <c r="F213" s="51" t="s">
        <v>49</v>
      </c>
      <c r="G213" s="52" t="s">
        <v>47</v>
      </c>
    </row>
    <row r="214" spans="1:7" ht="20.100000000000001" customHeight="1">
      <c r="A214" s="45" t="str">
        <f ca="1">IFERROR(__xludf.DUMMYFUNCTION("""COMPUTED_VALUE"""),"Dəri patogen göbələklərə(qasıq)")</f>
        <v>Dəri patogen göbələklərə(qasıq)</v>
      </c>
      <c r="B214" s="46" t="s">
        <v>94</v>
      </c>
      <c r="C214" s="46" t="s">
        <v>95</v>
      </c>
      <c r="D214" s="46" t="s">
        <v>37</v>
      </c>
      <c r="E214" s="46" t="s">
        <v>38</v>
      </c>
      <c r="F214" s="47" t="s">
        <v>49</v>
      </c>
      <c r="G214" s="48" t="s">
        <v>47</v>
      </c>
    </row>
    <row r="215" spans="1:7" ht="20.100000000000001" customHeight="1">
      <c r="A215" s="49" t="str">
        <f ca="1">IFERROR(__xludf.DUMMYFUNCTION("""COMPUTED_VALUE"""),"Dəri patogen göbələklərə(üz dərisi)")</f>
        <v>Dəri patogen göbələklərə(üz dərisi)</v>
      </c>
      <c r="B215" s="50" t="s">
        <v>94</v>
      </c>
      <c r="C215" s="50" t="s">
        <v>95</v>
      </c>
      <c r="D215" s="50" t="s">
        <v>37</v>
      </c>
      <c r="E215" s="50" t="s">
        <v>38</v>
      </c>
      <c r="F215" s="51" t="s">
        <v>49</v>
      </c>
      <c r="G215" s="52" t="s">
        <v>47</v>
      </c>
    </row>
    <row r="216" spans="1:7" ht="20.100000000000001" customHeight="1">
      <c r="A216" s="45" t="str">
        <f ca="1">IFERROR(__xludf.DUMMYFUNCTION("""COMPUTED_VALUE"""),"Dəri patogen göbələklərə(əl dərisi)")</f>
        <v>Dəri patogen göbələklərə(əl dərisi)</v>
      </c>
      <c r="B216" s="46" t="s">
        <v>94</v>
      </c>
      <c r="C216" s="46" t="s">
        <v>95</v>
      </c>
      <c r="D216" s="46" t="s">
        <v>37</v>
      </c>
      <c r="E216" s="46" t="s">
        <v>38</v>
      </c>
      <c r="F216" s="47" t="s">
        <v>49</v>
      </c>
      <c r="G216" s="48" t="s">
        <v>47</v>
      </c>
    </row>
    <row r="217" spans="1:7" ht="20.100000000000001" customHeight="1">
      <c r="A217" s="49" t="str">
        <f ca="1">IFERROR(__xludf.DUMMYFUNCTION("""COMPUTED_VALUE"""),"Dəridən götürülən sıyrıntının mikroskopiyası")</f>
        <v>Dəridən götürülən sıyrıntının mikroskopiyası</v>
      </c>
      <c r="B217" s="50" t="s">
        <v>94</v>
      </c>
      <c r="C217" s="50" t="s">
        <v>95</v>
      </c>
      <c r="D217" s="50" t="s">
        <v>37</v>
      </c>
      <c r="E217" s="50" t="s">
        <v>38</v>
      </c>
      <c r="F217" s="51" t="s">
        <v>49</v>
      </c>
      <c r="G217" s="48"/>
    </row>
    <row r="218" spans="1:7" ht="26.25" customHeight="1">
      <c r="A218" s="68" t="s">
        <v>112</v>
      </c>
      <c r="B218" s="50"/>
      <c r="C218" s="50"/>
      <c r="D218" s="50"/>
      <c r="E218" s="50"/>
      <c r="F218" s="51"/>
      <c r="G218" s="52" t="s">
        <v>47</v>
      </c>
    </row>
    <row r="219" spans="1:7" ht="20.100000000000001" customHeight="1">
      <c r="A219" s="45" t="str">
        <f ca="1">IFERROR(__xludf.DUMMYFUNCTION("""COMPUTED_VALUE"""),"Albumin / Kreatinin nisbəti (birdəfəlik sidik)")</f>
        <v>Albumin / Kreatinin nisbəti (birdəfəlik sidik)</v>
      </c>
      <c r="B219" s="46" t="s">
        <v>35</v>
      </c>
      <c r="C219" s="46" t="s">
        <v>41</v>
      </c>
      <c r="D219" s="46" t="s">
        <v>37</v>
      </c>
      <c r="E219" s="46" t="s">
        <v>42</v>
      </c>
      <c r="F219" s="47" t="s">
        <v>43</v>
      </c>
      <c r="G219" s="48"/>
    </row>
    <row r="220" spans="1:7" ht="20.100000000000001" customHeight="1">
      <c r="A220" s="49" t="str">
        <f ca="1">IFERROR(__xludf.DUMMYFUNCTION("""COMPUTED_VALUE"""),"Diastaza sidikdə(təzə yığılmış)")</f>
        <v>Diastaza sidikdə(təzə yığılmış)</v>
      </c>
      <c r="B220" s="50" t="s">
        <v>35</v>
      </c>
      <c r="C220" s="50" t="s">
        <v>41</v>
      </c>
      <c r="D220" s="50" t="s">
        <v>37</v>
      </c>
      <c r="E220" s="50" t="s">
        <v>42</v>
      </c>
      <c r="F220" s="51" t="s">
        <v>45</v>
      </c>
      <c r="G220" s="52" t="s">
        <v>40</v>
      </c>
    </row>
    <row r="221" spans="1:7" ht="20.100000000000001" customHeight="1">
      <c r="A221" s="45" t="str">
        <f ca="1">IFERROR(__xludf.DUMMYFUNCTION("""COMPUTED_VALUE"""),"Kalsium sidikdə (birdəfəlik sidik)")</f>
        <v>Kalsium sidikdə (birdəfəlik sidik)</v>
      </c>
      <c r="B221" s="46" t="s">
        <v>35</v>
      </c>
      <c r="C221" s="46" t="s">
        <v>41</v>
      </c>
      <c r="D221" s="46" t="s">
        <v>37</v>
      </c>
      <c r="E221" s="46" t="s">
        <v>42</v>
      </c>
      <c r="F221" s="47" t="s">
        <v>51</v>
      </c>
      <c r="G221" s="48" t="s">
        <v>47</v>
      </c>
    </row>
    <row r="222" spans="1:7" ht="20.100000000000001" customHeight="1">
      <c r="A222" s="49" t="str">
        <f ca="1">IFERROR(__xludf.DUMMYFUNCTION("""COMPUTED_VALUE"""),"Kalsium sidikdə (sutkalıq)")</f>
        <v>Kalsium sidikdə (sutkalıq)</v>
      </c>
      <c r="B222" s="50" t="s">
        <v>35</v>
      </c>
      <c r="C222" s="50" t="s">
        <v>41</v>
      </c>
      <c r="D222" s="50" t="s">
        <v>37</v>
      </c>
      <c r="E222" s="50" t="s">
        <v>42</v>
      </c>
      <c r="F222" s="51" t="s">
        <v>50</v>
      </c>
      <c r="G222" s="52" t="s">
        <v>40</v>
      </c>
    </row>
    <row r="223" spans="1:7" ht="20.100000000000001" customHeight="1">
      <c r="A223" s="45" t="str">
        <f ca="1">IFERROR(__xludf.DUMMYFUNCTION("""COMPUTED_VALUE"""),"Kortizol sidikdə (sutkalıq)")</f>
        <v>Kortizol sidikdə (sutkalıq)</v>
      </c>
      <c r="B223" s="46" t="s">
        <v>52</v>
      </c>
      <c r="C223" s="46" t="s">
        <v>41</v>
      </c>
      <c r="D223" s="46" t="s">
        <v>37</v>
      </c>
      <c r="E223" s="46" t="s">
        <v>38</v>
      </c>
      <c r="F223" s="47" t="s">
        <v>51</v>
      </c>
      <c r="G223" s="48" t="s">
        <v>40</v>
      </c>
    </row>
    <row r="224" spans="1:7" ht="20.100000000000001" customHeight="1">
      <c r="A224" s="49" t="str">
        <f ca="1">IFERROR(__xludf.DUMMYFUNCTION("""COMPUTED_VALUE"""),"Kreatinin klirensi (plazma kreatinin+sutkalıq sidik) GFR")</f>
        <v>Kreatinin klirensi (plazma kreatinin+sutkalıq sidik) GFR</v>
      </c>
      <c r="B224" s="50" t="s">
        <v>35</v>
      </c>
      <c r="C224" s="50" t="s">
        <v>96</v>
      </c>
      <c r="D224" s="50" t="s">
        <v>37</v>
      </c>
      <c r="E224" s="50" t="s">
        <v>42</v>
      </c>
      <c r="F224" s="51" t="s">
        <v>97</v>
      </c>
      <c r="G224" s="52" t="s">
        <v>40</v>
      </c>
    </row>
    <row r="225" spans="1:7" ht="15">
      <c r="A225" s="45" t="str">
        <f ca="1">IFERROR(__xludf.DUMMYFUNCTION("""COMPUTED_VALUE"""),"Kreatinin sidikdə(sutkalıq)")</f>
        <v>Kreatinin sidikdə(sutkalıq)</v>
      </c>
      <c r="B225" s="46" t="s">
        <v>35</v>
      </c>
      <c r="C225" s="46" t="s">
        <v>41</v>
      </c>
      <c r="D225" s="46" t="s">
        <v>37</v>
      </c>
      <c r="E225" s="46" t="s">
        <v>42</v>
      </c>
      <c r="F225" s="47" t="s">
        <v>51</v>
      </c>
      <c r="G225" s="48" t="s">
        <v>40</v>
      </c>
    </row>
    <row r="226" spans="1:7" ht="20.100000000000001" customHeight="1">
      <c r="A226" s="49" t="str">
        <f ca="1">IFERROR(__xludf.DUMMYFUNCTION("""COMPUTED_VALUE"""),"Kreatinin sidikdə(sutkalıq)")</f>
        <v>Kreatinin sidikdə(sutkalıq)</v>
      </c>
      <c r="B226" s="50" t="s">
        <v>35</v>
      </c>
      <c r="C226" s="50" t="s">
        <v>41</v>
      </c>
      <c r="D226" s="50" t="s">
        <v>37</v>
      </c>
      <c r="E226" s="50" t="s">
        <v>42</v>
      </c>
      <c r="F226" s="51" t="s">
        <v>51</v>
      </c>
      <c r="G226" s="52" t="s">
        <v>40</v>
      </c>
    </row>
    <row r="227" spans="1:7" ht="20.100000000000001" customHeight="1">
      <c r="A227" s="45" t="str">
        <f ca="1">IFERROR(__xludf.DUMMYFUNCTION("""COMPUTED_VALUE"""),"Mikroalbumin (sutkalıq sidikdə)")</f>
        <v>Mikroalbumin (sutkalıq sidikdə)</v>
      </c>
      <c r="B227" s="46" t="s">
        <v>35</v>
      </c>
      <c r="C227" s="46" t="s">
        <v>41</v>
      </c>
      <c r="D227" s="46" t="s">
        <v>37</v>
      </c>
      <c r="E227" s="46" t="s">
        <v>42</v>
      </c>
      <c r="F227" s="47" t="s">
        <v>43</v>
      </c>
      <c r="G227" s="48" t="s">
        <v>40</v>
      </c>
    </row>
    <row r="228" spans="1:7" ht="20.100000000000001" customHeight="1">
      <c r="A228" s="49" t="str">
        <f ca="1">IFERROR(__xludf.DUMMYFUNCTION("""COMPUTED_VALUE"""),"Mycoplasma və ureaplazma əkilməsi+antibiotikoqramma (sidik)")</f>
        <v>Mycoplasma və ureaplazma əkilməsi+antibiotikoqramma (sidik)</v>
      </c>
      <c r="B228" s="50" t="s">
        <v>67</v>
      </c>
      <c r="C228" s="50" t="s">
        <v>41</v>
      </c>
      <c r="D228" s="50" t="s">
        <v>37</v>
      </c>
      <c r="E228" s="50" t="s">
        <v>78</v>
      </c>
      <c r="F228" s="51" t="s">
        <v>43</v>
      </c>
      <c r="G228" s="52" t="s">
        <v>40</v>
      </c>
    </row>
    <row r="229" spans="1:7" ht="25.5">
      <c r="A229" s="45" t="str">
        <f ca="1">IFERROR(__xludf.DUMMYFUNCTION("""COMPUTED_VALUE"""),"Qlükoza sidikdə (birdəfəlik)")</f>
        <v>Qlükoza sidikdə (birdəfəlik)</v>
      </c>
      <c r="B229" s="46" t="s">
        <v>35</v>
      </c>
      <c r="C229" s="46" t="s">
        <v>41</v>
      </c>
      <c r="D229" s="46" t="s">
        <v>37</v>
      </c>
      <c r="E229" s="46" t="s">
        <v>42</v>
      </c>
      <c r="F229" s="47" t="s">
        <v>43</v>
      </c>
      <c r="G229" s="48" t="s">
        <v>80</v>
      </c>
    </row>
    <row r="230" spans="1:7" ht="20.100000000000001" customHeight="1">
      <c r="A230" s="49" t="str">
        <f ca="1">IFERROR(__xludf.DUMMYFUNCTION("""COMPUTED_VALUE"""),"Qlükoza sidikdə (sutkalıq)")</f>
        <v>Qlükoza sidikdə (sutkalıq)</v>
      </c>
      <c r="B230" s="50" t="s">
        <v>35</v>
      </c>
      <c r="C230" s="50" t="s">
        <v>41</v>
      </c>
      <c r="D230" s="50" t="s">
        <v>37</v>
      </c>
      <c r="E230" s="50" t="s">
        <v>42</v>
      </c>
      <c r="F230" s="51" t="s">
        <v>43</v>
      </c>
      <c r="G230" s="52" t="s">
        <v>40</v>
      </c>
    </row>
    <row r="231" spans="1:7" ht="20.100000000000001" customHeight="1">
      <c r="A231" s="45" t="str">
        <f ca="1">IFERROR(__xludf.DUMMYFUNCTION("""COMPUTED_VALUE"""),"Sidik cövhəri (UREA) sidikdə (sutkalıq)")</f>
        <v>Sidik cövhəri (UREA) sidikdə (sutkalıq)</v>
      </c>
      <c r="B231" s="46" t="s">
        <v>35</v>
      </c>
      <c r="C231" s="46" t="s">
        <v>41</v>
      </c>
      <c r="D231" s="46" t="s">
        <v>37</v>
      </c>
      <c r="E231" s="46" t="s">
        <v>42</v>
      </c>
      <c r="F231" s="47" t="s">
        <v>43</v>
      </c>
      <c r="G231" s="48" t="s">
        <v>40</v>
      </c>
    </row>
    <row r="232" spans="1:7" ht="20.100000000000001" customHeight="1">
      <c r="A232" s="49" t="str">
        <f ca="1">IFERROR(__xludf.DUMMYFUNCTION("""COMPUTED_VALUE"""),"Sidik turşusu (URİC) sidikdə (sutkalıq)")</f>
        <v>Sidik turşusu (URİC) sidikdə (sutkalıq)</v>
      </c>
      <c r="B232" s="50" t="s">
        <v>35</v>
      </c>
      <c r="C232" s="50" t="s">
        <v>41</v>
      </c>
      <c r="D232" s="50" t="s">
        <v>37</v>
      </c>
      <c r="E232" s="50" t="s">
        <v>42</v>
      </c>
      <c r="F232" s="51" t="s">
        <v>43</v>
      </c>
      <c r="G232" s="52" t="s">
        <v>40</v>
      </c>
    </row>
    <row r="233" spans="1:7" ht="20.100000000000001" customHeight="1">
      <c r="A233" s="45" t="str">
        <f ca="1">IFERROR(__xludf.DUMMYFUNCTION("""COMPUTED_VALUE"""),"Sidiyin bakterioloji müayinəsi")</f>
        <v>Sidiyin bakterioloji müayinəsi</v>
      </c>
      <c r="B233" s="46" t="s">
        <v>67</v>
      </c>
      <c r="C233" s="46" t="s">
        <v>41</v>
      </c>
      <c r="D233" s="46" t="s">
        <v>37</v>
      </c>
      <c r="E233" s="46" t="s">
        <v>42</v>
      </c>
      <c r="F233" s="47" t="s">
        <v>92</v>
      </c>
      <c r="G233" s="48" t="s">
        <v>40</v>
      </c>
    </row>
    <row r="234" spans="1:7" ht="20.100000000000001" customHeight="1">
      <c r="A234" s="49" t="str">
        <f ca="1">IFERROR(__xludf.DUMMYFUNCTION("""COMPUTED_VALUE"""),"Sidiyin kliniki analizi")</f>
        <v>Sidiyin kliniki analizi</v>
      </c>
      <c r="B234" s="50" t="s">
        <v>98</v>
      </c>
      <c r="C234" s="50" t="s">
        <v>41</v>
      </c>
      <c r="D234" s="50" t="s">
        <v>37</v>
      </c>
      <c r="E234" s="50" t="s">
        <v>42</v>
      </c>
      <c r="F234" s="51" t="s">
        <v>43</v>
      </c>
      <c r="G234" s="52" t="s">
        <v>70</v>
      </c>
    </row>
    <row r="235" spans="1:7" ht="20.100000000000001" customHeight="1">
      <c r="A235" s="45" t="str">
        <f ca="1">IFERROR(__xludf.DUMMYFUNCTION("""COMPUTED_VALUE"""),"Sidiyin müayinəsi (11 parametr)")</f>
        <v>Sidiyin müayinəsi (11 parametr)</v>
      </c>
      <c r="B235" s="46" t="s">
        <v>99</v>
      </c>
      <c r="C235" s="46" t="s">
        <v>41</v>
      </c>
      <c r="D235" s="46" t="s">
        <v>37</v>
      </c>
      <c r="E235" s="46" t="s">
        <v>42</v>
      </c>
      <c r="F235" s="47" t="s">
        <v>43</v>
      </c>
      <c r="G235" s="48" t="s">
        <v>40</v>
      </c>
    </row>
    <row r="236" spans="1:7" ht="20.100000000000001" customHeight="1">
      <c r="A236" s="49" t="str">
        <f ca="1">IFERROR(__xludf.DUMMYFUNCTION("""COMPUTED_VALUE"""),"Sidiyin müayinəsi (ı porsiya)")</f>
        <v>Sidiyin müayinəsi (ı porsiya)</v>
      </c>
      <c r="B236" s="50" t="s">
        <v>94</v>
      </c>
      <c r="C236" s="50" t="s">
        <v>41</v>
      </c>
      <c r="D236" s="50" t="s">
        <v>37</v>
      </c>
      <c r="E236" s="50" t="s">
        <v>42</v>
      </c>
      <c r="F236" s="51" t="s">
        <v>43</v>
      </c>
      <c r="G236" s="52" t="s">
        <v>40</v>
      </c>
    </row>
    <row r="237" spans="1:7" ht="20.100000000000001" customHeight="1">
      <c r="A237" s="45" t="str">
        <f ca="1">IFERROR(__xludf.DUMMYFUNCTION("""COMPUTED_VALUE"""),"Sidiyin müayinəsi (ıı porsiya)")</f>
        <v>Sidiyin müayinəsi (ıı porsiya)</v>
      </c>
      <c r="B237" s="46" t="s">
        <v>94</v>
      </c>
      <c r="C237" s="46" t="s">
        <v>41</v>
      </c>
      <c r="D237" s="46" t="s">
        <v>37</v>
      </c>
      <c r="E237" s="46" t="s">
        <v>42</v>
      </c>
      <c r="F237" s="47" t="s">
        <v>43</v>
      </c>
      <c r="G237" s="48" t="s">
        <v>40</v>
      </c>
    </row>
    <row r="238" spans="1:7" ht="20.100000000000001" customHeight="1">
      <c r="A238" s="49" t="str">
        <f ca="1">IFERROR(__xludf.DUMMYFUNCTION("""COMPUTED_VALUE"""),"Sidiyin müayinəsi (ııı porsiya)")</f>
        <v>Sidiyin müayinəsi (ııı porsiya)</v>
      </c>
      <c r="B238" s="50" t="s">
        <v>94</v>
      </c>
      <c r="C238" s="50" t="s">
        <v>41</v>
      </c>
      <c r="D238" s="50" t="s">
        <v>37</v>
      </c>
      <c r="E238" s="50" t="s">
        <v>42</v>
      </c>
      <c r="F238" s="51" t="s">
        <v>43</v>
      </c>
      <c r="G238" s="52" t="s">
        <v>40</v>
      </c>
    </row>
    <row r="239" spans="1:7" ht="20.100000000000001" customHeight="1">
      <c r="A239" s="45" t="str">
        <f ca="1">IFERROR(__xludf.DUMMYFUNCTION("""COMPUTED_VALUE"""),"Sidiyin müayinəsi(Prost.Vəz.Massaj.Sonra)")</f>
        <v>Sidiyin müayinəsi(Prost.Vəz.Massaj.Sonra)</v>
      </c>
      <c r="B239" s="46" t="s">
        <v>98</v>
      </c>
      <c r="C239" s="46" t="s">
        <v>41</v>
      </c>
      <c r="D239" s="46" t="s">
        <v>37</v>
      </c>
      <c r="E239" s="46" t="s">
        <v>42</v>
      </c>
      <c r="F239" s="47" t="s">
        <v>43</v>
      </c>
      <c r="G239" s="48" t="s">
        <v>40</v>
      </c>
    </row>
    <row r="240" spans="1:7" ht="20.100000000000001" customHeight="1">
      <c r="A240" s="49" t="str">
        <f ca="1">IFERROR(__xludf.DUMMYFUNCTION("""COMPUTED_VALUE"""),"Sidiyin neçiporenko üsulu ilə müayinəsi")</f>
        <v>Sidiyin neçiporenko üsulu ilə müayinəsi</v>
      </c>
      <c r="B240" s="50" t="s">
        <v>94</v>
      </c>
      <c r="C240" s="50" t="s">
        <v>41</v>
      </c>
      <c r="D240" s="50" t="s">
        <v>37</v>
      </c>
      <c r="E240" s="50" t="s">
        <v>42</v>
      </c>
      <c r="F240" s="51" t="s">
        <v>43</v>
      </c>
      <c r="G240" s="52" t="s">
        <v>40</v>
      </c>
    </row>
    <row r="241" spans="1:7" ht="20.100000000000001" customHeight="1">
      <c r="A241" s="45" t="str">
        <f ca="1">IFERROR(__xludf.DUMMYFUNCTION("""COMPUTED_VALUE"""),"Sidiyin nisbi sıxlığı")</f>
        <v>Sidiyin nisbi sıxlığı</v>
      </c>
      <c r="B241" s="46" t="s">
        <v>94</v>
      </c>
      <c r="C241" s="46" t="s">
        <v>41</v>
      </c>
      <c r="D241" s="46" t="s">
        <v>37</v>
      </c>
      <c r="E241" s="46" t="s">
        <v>42</v>
      </c>
      <c r="F241" s="47" t="s">
        <v>43</v>
      </c>
      <c r="G241" s="48" t="s">
        <v>40</v>
      </c>
    </row>
    <row r="242" spans="1:7" ht="20.100000000000001" customHeight="1">
      <c r="A242" s="49" t="str">
        <f ca="1">IFERROR(__xludf.DUMMYFUNCTION("""COMPUTED_VALUE"""),"Zimnitski sınağı")</f>
        <v>Zimnitski sınağı</v>
      </c>
      <c r="B242" s="50" t="s">
        <v>94</v>
      </c>
      <c r="C242" s="50" t="s">
        <v>41</v>
      </c>
      <c r="D242" s="50" t="s">
        <v>37</v>
      </c>
      <c r="E242" s="50" t="s">
        <v>42</v>
      </c>
      <c r="F242" s="51" t="s">
        <v>43</v>
      </c>
      <c r="G242" s="52" t="s">
        <v>40</v>
      </c>
    </row>
    <row r="243" spans="1:7" ht="20.100000000000001" customHeight="1">
      <c r="A243" s="45" t="str">
        <f ca="1">IFERROR(__xludf.DUMMYFUNCTION("""COMPUTED_VALUE"""),"Zülal birdəfəlik sidikdə")</f>
        <v>Zülal birdəfəlik sidikdə</v>
      </c>
      <c r="B243" s="46" t="s">
        <v>35</v>
      </c>
      <c r="C243" s="46" t="s">
        <v>41</v>
      </c>
      <c r="D243" s="46" t="s">
        <v>37</v>
      </c>
      <c r="E243" s="46" t="s">
        <v>42</v>
      </c>
      <c r="F243" s="47" t="s">
        <v>43</v>
      </c>
      <c r="G243" s="48" t="s">
        <v>40</v>
      </c>
    </row>
    <row r="244" spans="1:7" ht="20.100000000000001" customHeight="1">
      <c r="A244" s="49" t="str">
        <f ca="1">IFERROR(__xludf.DUMMYFUNCTION("""COMPUTED_VALUE"""),"Zülal Sutkalıq sidikdə")</f>
        <v>Zülal Sutkalıq sidikdə</v>
      </c>
      <c r="B244" s="50" t="s">
        <v>35</v>
      </c>
      <c r="C244" s="50" t="s">
        <v>41</v>
      </c>
      <c r="D244" s="50" t="s">
        <v>37</v>
      </c>
      <c r="E244" s="50" t="s">
        <v>42</v>
      </c>
      <c r="F244" s="51" t="s">
        <v>43</v>
      </c>
      <c r="G244" s="48"/>
    </row>
    <row r="245" spans="1:7" ht="20.100000000000001" customHeight="1">
      <c r="A245" s="68" t="s">
        <v>113</v>
      </c>
      <c r="B245" s="50"/>
      <c r="C245" s="50"/>
      <c r="D245" s="50"/>
      <c r="E245" s="50"/>
      <c r="F245" s="51"/>
      <c r="G245" s="52" t="s">
        <v>40</v>
      </c>
    </row>
    <row r="246" spans="1:7" ht="27.75" customHeight="1">
      <c r="A246" s="45" t="str">
        <f ca="1">IFERROR(__xludf.DUMMYFUNCTION("""COMPUTED_VALUE"""),"Enterobioza görə sıyrıntı")</f>
        <v>Enterobioza görə sıyrıntı</v>
      </c>
      <c r="B246" s="46" t="s">
        <v>94</v>
      </c>
      <c r="C246" s="46" t="s">
        <v>95</v>
      </c>
      <c r="D246" s="46" t="s">
        <v>37</v>
      </c>
      <c r="E246" s="46" t="s">
        <v>42</v>
      </c>
      <c r="F246" s="47" t="s">
        <v>49</v>
      </c>
      <c r="G246" s="48" t="s">
        <v>40</v>
      </c>
    </row>
    <row r="247" spans="1:7" ht="20.100000000000001" customHeight="1">
      <c r="A247" s="49" t="str">
        <f ca="1">IFERROR(__xludf.DUMMYFUNCTION("""COMPUTED_VALUE"""),"Nəcisdə gizli qanın təyini")</f>
        <v>Nəcisdə gizli qanın təyini</v>
      </c>
      <c r="B247" s="50" t="s">
        <v>60</v>
      </c>
      <c r="C247" s="50" t="s">
        <v>65</v>
      </c>
      <c r="D247" s="50" t="s">
        <v>37</v>
      </c>
      <c r="E247" s="50" t="s">
        <v>100</v>
      </c>
      <c r="F247" s="51" t="s">
        <v>49</v>
      </c>
      <c r="G247" s="52"/>
    </row>
    <row r="248" spans="1:7" ht="20.100000000000001" customHeight="1">
      <c r="A248" s="45" t="str">
        <f ca="1">IFERROR(__xludf.DUMMYFUNCTION("""COMPUTED_VALUE"""),"Nəcisdə Helicobakter pylorinin təyini")</f>
        <v>Nəcisdə Helicobakter pylorinin təyini</v>
      </c>
      <c r="B248" s="46" t="s">
        <v>60</v>
      </c>
      <c r="C248" s="46" t="s">
        <v>65</v>
      </c>
      <c r="D248" s="46" t="s">
        <v>37</v>
      </c>
      <c r="E248" s="46" t="s">
        <v>42</v>
      </c>
      <c r="F248" s="47" t="s">
        <v>49</v>
      </c>
      <c r="G248" s="48"/>
    </row>
    <row r="249" spans="1:7" ht="20.100000000000001" customHeight="1">
      <c r="A249" s="49" t="str">
        <f ca="1">IFERROR(__xludf.DUMMYFUNCTION("""COMPUTED_VALUE"""),"Nəcisin bakterioloji müayinəsi")</f>
        <v>Nəcisin bakterioloji müayinəsi</v>
      </c>
      <c r="B249" s="50" t="s">
        <v>67</v>
      </c>
      <c r="C249" s="50" t="s">
        <v>65</v>
      </c>
      <c r="D249" s="50" t="s">
        <v>37</v>
      </c>
      <c r="E249" s="50" t="s">
        <v>69</v>
      </c>
      <c r="F249" s="51" t="s">
        <v>49</v>
      </c>
      <c r="G249" s="52" t="s">
        <v>76</v>
      </c>
    </row>
    <row r="250" spans="1:7" ht="38.25">
      <c r="A250" s="45" t="str">
        <f ca="1">IFERROR(__xludf.DUMMYFUNCTION("""COMPUTED_VALUE"""),"Nəcisin bakterioloji müayinəsi + antibiotikoqramma")</f>
        <v>Nəcisin bakterioloji müayinəsi + antibiotikoqramma</v>
      </c>
      <c r="B250" s="46" t="s">
        <v>67</v>
      </c>
      <c r="C250" s="46" t="s">
        <v>65</v>
      </c>
      <c r="D250" s="46" t="s">
        <v>37</v>
      </c>
      <c r="E250" s="46" t="s">
        <v>69</v>
      </c>
      <c r="F250" s="47" t="s">
        <v>49</v>
      </c>
      <c r="G250" s="48" t="s">
        <v>101</v>
      </c>
    </row>
    <row r="251" spans="1:7" ht="20.100000000000001" customHeight="1">
      <c r="A251" s="49" t="str">
        <f ca="1">IFERROR(__xludf.DUMMYFUNCTION("""COMPUTED_VALUE"""),"Nəcisin kliniki analizi")</f>
        <v>Nəcisin kliniki analizi</v>
      </c>
      <c r="B251" s="50" t="s">
        <v>67</v>
      </c>
      <c r="C251" s="50" t="s">
        <v>65</v>
      </c>
      <c r="D251" s="50" t="s">
        <v>37</v>
      </c>
      <c r="E251" s="50" t="s">
        <v>42</v>
      </c>
      <c r="F251" s="51" t="s">
        <v>49</v>
      </c>
      <c r="G251" s="52" t="s">
        <v>40</v>
      </c>
    </row>
    <row r="252" spans="1:7" ht="20.100000000000001" customHeight="1">
      <c r="A252" s="45" t="str">
        <f ca="1">IFERROR(__xludf.DUMMYFUNCTION("""COMPUTED_VALUE"""),"Qurd yumurtaları və ibtidailərin təyini")</f>
        <v>Qurd yumurtaları və ibtidailərin təyini</v>
      </c>
      <c r="B252" s="46" t="s">
        <v>94</v>
      </c>
      <c r="C252" s="46" t="s">
        <v>65</v>
      </c>
      <c r="D252" s="46" t="s">
        <v>37</v>
      </c>
      <c r="E252" s="46" t="s">
        <v>42</v>
      </c>
      <c r="F252" s="47" t="s">
        <v>66</v>
      </c>
      <c r="G252" s="52"/>
    </row>
    <row r="253" spans="1:7" ht="20.100000000000001" customHeight="1">
      <c r="A253" s="68" t="s">
        <v>114</v>
      </c>
      <c r="B253" s="46"/>
      <c r="C253" s="46"/>
      <c r="D253" s="46"/>
      <c r="E253" s="46"/>
      <c r="F253" s="47"/>
      <c r="G253" s="48"/>
    </row>
    <row r="254" spans="1:7" ht="20.100000000000001" customHeight="1">
      <c r="A254" s="49" t="str">
        <f ca="1">IFERROR(__xludf.DUMMYFUNCTION("""COMPUTED_VALUE"""),"Eyakulyatın (spermanın) bakterioloji müayinəsi")</f>
        <v>Eyakulyatın (spermanın) bakterioloji müayinəsi</v>
      </c>
      <c r="B254" s="50" t="s">
        <v>67</v>
      </c>
      <c r="C254" s="50" t="s">
        <v>68</v>
      </c>
      <c r="D254" s="50" t="s">
        <v>37</v>
      </c>
      <c r="E254" s="50" t="s">
        <v>69</v>
      </c>
      <c r="F254" s="51" t="s">
        <v>77</v>
      </c>
      <c r="G254" s="52" t="s">
        <v>47</v>
      </c>
    </row>
    <row r="255" spans="1:7" ht="20.100000000000001" customHeight="1">
      <c r="A255" s="45" t="str">
        <f ca="1">IFERROR(__xludf.DUMMYFUNCTION("""COMPUTED_VALUE"""),"Eyakulyatın (spermanın) bakterioloji müayinəsi + antibiotikoqramma")</f>
        <v>Eyakulyatın (spermanın) bakterioloji müayinəsi + antibiotikoqramma</v>
      </c>
      <c r="B255" s="46" t="s">
        <v>67</v>
      </c>
      <c r="C255" s="46" t="s">
        <v>68</v>
      </c>
      <c r="D255" s="46" t="s">
        <v>37</v>
      </c>
      <c r="E255" s="46" t="s">
        <v>69</v>
      </c>
      <c r="F255" s="47" t="s">
        <v>77</v>
      </c>
      <c r="G255" s="48"/>
    </row>
    <row r="256" spans="1:7" ht="20.100000000000001" customHeight="1">
      <c r="A256" s="49" t="str">
        <f ca="1">IFERROR(__xludf.DUMMYFUNCTION("""COMPUTED_VALUE"""),"Mycoplasma və ureaplazma əkilməsi+antibiotikoqramma(eyakulat)")</f>
        <v>Mycoplasma və ureaplazma əkilməsi+antibiotikoqramma(eyakulat)</v>
      </c>
      <c r="B256" s="50" t="s">
        <v>67</v>
      </c>
      <c r="C256" s="50" t="s">
        <v>68</v>
      </c>
      <c r="D256" s="50" t="s">
        <v>37</v>
      </c>
      <c r="E256" s="50" t="s">
        <v>78</v>
      </c>
      <c r="F256" s="51" t="s">
        <v>82</v>
      </c>
      <c r="G256" s="52"/>
    </row>
    <row r="257" spans="1:9" ht="20.100000000000001" customHeight="1">
      <c r="A257" s="45" t="str">
        <f ca="1">IFERROR(__xludf.DUMMYFUNCTION("""COMPUTED_VALUE"""),"Spermoqramma")</f>
        <v>Spermoqramma</v>
      </c>
      <c r="B257" s="46" t="s">
        <v>94</v>
      </c>
      <c r="C257" s="46" t="s">
        <v>68</v>
      </c>
      <c r="D257" s="46" t="s">
        <v>37</v>
      </c>
      <c r="E257" s="46" t="s">
        <v>42</v>
      </c>
      <c r="F257" s="47"/>
      <c r="G257" s="48"/>
    </row>
    <row r="258" spans="1:9" ht="20.100000000000001" customHeight="1">
      <c r="A258" s="71" t="s">
        <v>117</v>
      </c>
      <c r="B258" s="46"/>
      <c r="C258" s="46"/>
      <c r="D258" s="46"/>
      <c r="E258" s="46"/>
      <c r="F258" s="47"/>
      <c r="G258" s="48"/>
    </row>
    <row r="259" spans="1:9" ht="20.100000000000001" customHeight="1">
      <c r="A259" s="49" t="str">
        <f ca="1">IFERROR(__xludf.DUMMYFUNCTION("""COMPUTED_VALUE"""),"Eritrositlərin çökmə sürəti (EÇS)")</f>
        <v>Eritrositlərin çökmə sürəti (EÇS)</v>
      </c>
      <c r="B259" s="50" t="s">
        <v>102</v>
      </c>
      <c r="C259" s="50" t="s">
        <v>102</v>
      </c>
      <c r="D259" s="50" t="s">
        <v>37</v>
      </c>
      <c r="E259" s="50" t="s">
        <v>103</v>
      </c>
      <c r="F259" s="51" t="s">
        <v>48</v>
      </c>
      <c r="G259" s="52" t="s">
        <v>40</v>
      </c>
    </row>
    <row r="260" spans="1:9" ht="20.100000000000001" customHeight="1">
      <c r="A260" s="45" t="str">
        <f ca="1">IFERROR(__xludf.DUMMYFUNCTION("""COMPUTED_VALUE"""),"Qan ümumi analizi + retikulositlər + leykoformula")</f>
        <v>Qan ümumi analizi + retikulositlər + leykoformula</v>
      </c>
      <c r="B260" s="46" t="s">
        <v>104</v>
      </c>
      <c r="C260" s="46" t="s">
        <v>36</v>
      </c>
      <c r="D260" s="46" t="s">
        <v>37</v>
      </c>
      <c r="E260" s="46" t="s">
        <v>103</v>
      </c>
      <c r="F260" s="47" t="s">
        <v>48</v>
      </c>
      <c r="G260" s="48" t="s">
        <v>40</v>
      </c>
    </row>
    <row r="261" spans="1:9" ht="20.100000000000001" customHeight="1">
      <c r="A261" s="49" t="str">
        <f ca="1">IFERROR(__xludf.DUMMYFUNCTION("""COMPUTED_VALUE"""),"Qan ümumi analizi 14 parametr+ retikulositlər")</f>
        <v>Qan ümumi analizi 14 parametr+ retikulositlər</v>
      </c>
      <c r="B261" s="50" t="s">
        <v>104</v>
      </c>
      <c r="C261" s="50" t="s">
        <v>36</v>
      </c>
      <c r="D261" s="50" t="s">
        <v>37</v>
      </c>
      <c r="E261" s="50" t="s">
        <v>103</v>
      </c>
      <c r="F261" s="51" t="s">
        <v>48</v>
      </c>
      <c r="G261" s="52" t="s">
        <v>40</v>
      </c>
    </row>
    <row r="262" spans="1:9" ht="20.100000000000001" customHeight="1">
      <c r="A262" s="45" t="str">
        <f ca="1">IFERROR(__xludf.DUMMYFUNCTION("""COMPUTED_VALUE"""),"Qanın kliniki analizi (14 parametr sysmex)")</f>
        <v>Qanın kliniki analizi (14 parametr sysmex)</v>
      </c>
      <c r="B262" s="46" t="s">
        <v>104</v>
      </c>
      <c r="C262" s="46" t="s">
        <v>36</v>
      </c>
      <c r="D262" s="46" t="s">
        <v>37</v>
      </c>
      <c r="E262" s="46" t="s">
        <v>103</v>
      </c>
      <c r="F262" s="47" t="s">
        <v>48</v>
      </c>
      <c r="G262" s="48" t="s">
        <v>40</v>
      </c>
    </row>
    <row r="263" spans="1:9" ht="20.100000000000001" customHeight="1">
      <c r="A263" s="49" t="str">
        <f ca="1">IFERROR(__xludf.DUMMYFUNCTION("""COMPUTED_VALUE"""),"Qanın kliniki analizi + leykoformula (EÇS daxil deyil)")</f>
        <v>Qanın kliniki analizi + leykoformula (EÇS daxil deyil)</v>
      </c>
      <c r="B263" s="50" t="s">
        <v>104</v>
      </c>
      <c r="C263" s="50" t="s">
        <v>36</v>
      </c>
      <c r="D263" s="50" t="s">
        <v>37</v>
      </c>
      <c r="E263" s="50" t="s">
        <v>103</v>
      </c>
      <c r="F263" s="51" t="s">
        <v>48</v>
      </c>
      <c r="G263" s="52"/>
    </row>
    <row r="264" spans="1:9" ht="20.100000000000001" customHeight="1">
      <c r="A264" s="45" t="str">
        <f ca="1">IFERROR(__xludf.DUMMYFUNCTION("""COMPUTED_VALUE"""),"Qanın kliniki analizi+leykoformula")</f>
        <v>Qanın kliniki analizi+leykoformula</v>
      </c>
      <c r="B264" s="46" t="s">
        <v>104</v>
      </c>
      <c r="C264" s="46" t="s">
        <v>36</v>
      </c>
      <c r="D264" s="46" t="s">
        <v>37</v>
      </c>
      <c r="E264" s="46" t="s">
        <v>103</v>
      </c>
      <c r="F264" s="47" t="s">
        <v>48</v>
      </c>
      <c r="G264" s="48" t="s">
        <v>40</v>
      </c>
    </row>
    <row r="265" spans="1:9" ht="20.100000000000001" customHeight="1">
      <c r="A265" s="70" t="s">
        <v>116</v>
      </c>
      <c r="B265" s="46"/>
      <c r="C265" s="46"/>
      <c r="D265" s="46"/>
      <c r="E265" s="46"/>
      <c r="F265" s="47"/>
      <c r="G265" s="48"/>
    </row>
    <row r="266" spans="1:9" ht="20.100000000000001" customHeight="1">
      <c r="A266" s="49" t="str">
        <f ca="1">IFERROR(__xludf.DUMMYFUNCTION("""COMPUTED_VALUE"""),"Kumbs reaksiyası (düz)")</f>
        <v>Kumbs reaksiyası (düz)</v>
      </c>
      <c r="B266" s="50" t="s">
        <v>105</v>
      </c>
      <c r="C266" s="50" t="s">
        <v>53</v>
      </c>
      <c r="D266" s="50" t="s">
        <v>37</v>
      </c>
      <c r="E266" s="50" t="s">
        <v>38</v>
      </c>
      <c r="F266" s="51" t="s">
        <v>39</v>
      </c>
      <c r="G266" s="52" t="s">
        <v>40</v>
      </c>
    </row>
    <row r="267" spans="1:9" s="17" customFormat="1" ht="20.100000000000001" customHeight="1">
      <c r="A267" s="45" t="str">
        <f ca="1">IFERROR(__xludf.DUMMYFUNCTION("""COMPUTED_VALUE"""),"Kumbs reaksiyası (qeyri-düz)")</f>
        <v>Kumbs reaksiyası (qeyri-düz)</v>
      </c>
      <c r="B267" s="46" t="s">
        <v>105</v>
      </c>
      <c r="C267" s="46" t="s">
        <v>53</v>
      </c>
      <c r="D267" s="46" t="s">
        <v>37</v>
      </c>
      <c r="E267" s="46" t="s">
        <v>38</v>
      </c>
      <c r="F267" s="47" t="s">
        <v>39</v>
      </c>
      <c r="G267" s="48" t="s">
        <v>40</v>
      </c>
      <c r="H267"/>
      <c r="I267"/>
    </row>
    <row r="268" spans="1:9" ht="20.100000000000001" customHeight="1">
      <c r="A268" s="49" t="str">
        <f ca="1">IFERROR(__xludf.DUMMYFUNCTION("""COMPUTED_VALUE"""),"Kumbs reaksiyası (qeyri-düz) (Titr)")</f>
        <v>Kumbs reaksiyası (qeyri-düz) (Titr)</v>
      </c>
      <c r="B268" s="50" t="s">
        <v>105</v>
      </c>
      <c r="C268" s="50" t="s">
        <v>53</v>
      </c>
      <c r="D268" s="50" t="s">
        <v>37</v>
      </c>
      <c r="E268" s="50" t="s">
        <v>38</v>
      </c>
      <c r="F268" s="51" t="s">
        <v>39</v>
      </c>
      <c r="G268" s="52" t="s">
        <v>40</v>
      </c>
    </row>
    <row r="269" spans="1:9" ht="20.100000000000001" customHeight="1">
      <c r="A269" s="45" t="str">
        <f ca="1">IFERROR(__xludf.DUMMYFUNCTION("""COMPUTED_VALUE"""),"Qan qrupu (gel-aqqlütinasiya)")</f>
        <v>Qan qrupu (gel-aqqlütinasiya)</v>
      </c>
      <c r="B269" s="46" t="s">
        <v>105</v>
      </c>
      <c r="C269" s="46" t="s">
        <v>36</v>
      </c>
      <c r="D269" s="46" t="s">
        <v>37</v>
      </c>
      <c r="E269" s="46" t="s">
        <v>42</v>
      </c>
      <c r="F269" s="47" t="s">
        <v>48</v>
      </c>
      <c r="G269" s="48" t="s">
        <v>40</v>
      </c>
    </row>
    <row r="270" spans="1:9" ht="20.100000000000001" customHeight="1">
      <c r="A270" s="49" t="str">
        <f ca="1">IFERROR(__xludf.DUMMYFUNCTION("""COMPUTED_VALUE"""),"Qan qrupu və rezus faktorun təyini (sum)")</f>
        <v>Qan qrupu və rezus faktorun təyini (sum)</v>
      </c>
      <c r="B270" s="50" t="s">
        <v>105</v>
      </c>
      <c r="C270" s="50" t="s">
        <v>36</v>
      </c>
      <c r="D270" s="50" t="s">
        <v>37</v>
      </c>
      <c r="E270" s="50" t="s">
        <v>42</v>
      </c>
      <c r="F270" s="51" t="s">
        <v>48</v>
      </c>
      <c r="G270" s="52" t="s">
        <v>40</v>
      </c>
    </row>
    <row r="271" spans="1:9" ht="20.100000000000001" customHeight="1">
      <c r="A271" s="69" t="s">
        <v>115</v>
      </c>
      <c r="B271" s="50"/>
      <c r="C271" s="50"/>
      <c r="D271" s="50"/>
      <c r="E271" s="50"/>
      <c r="F271" s="51"/>
      <c r="G271" s="52"/>
      <c r="H271" s="17"/>
      <c r="I271" s="17"/>
    </row>
    <row r="272" spans="1:9" ht="20.100000000000001" customHeight="1">
      <c r="A272" s="45" t="str">
        <f ca="1">IFERROR(__xludf.DUMMYFUNCTION("""COMPUTED_VALUE"""),"Leykoformula manual")</f>
        <v>Leykoformula manual</v>
      </c>
      <c r="B272" s="46" t="s">
        <v>94</v>
      </c>
      <c r="C272" s="46" t="s">
        <v>53</v>
      </c>
      <c r="D272" s="46" t="s">
        <v>106</v>
      </c>
      <c r="E272" s="46" t="s">
        <v>107</v>
      </c>
      <c r="F272" s="47" t="s">
        <v>45</v>
      </c>
      <c r="G272" s="48"/>
    </row>
    <row r="273" spans="1:7" ht="20.100000000000001" customHeight="1">
      <c r="A273" s="49" t="str">
        <f ca="1">IFERROR(__xludf.DUMMYFUNCTION("""COMPUTED_VALUE"""),"Prostat vəzi şirəsinin müayinəsi")</f>
        <v>Prostat vəzi şirəsinin müayinəsi</v>
      </c>
      <c r="B273" s="50" t="s">
        <v>94</v>
      </c>
      <c r="C273" s="50" t="s">
        <v>95</v>
      </c>
      <c r="D273" s="50" t="s">
        <v>106</v>
      </c>
      <c r="E273" s="50" t="s">
        <v>107</v>
      </c>
      <c r="F273" s="51"/>
      <c r="G273" s="52"/>
    </row>
    <row r="274" spans="1:7" ht="20.100000000000001" customHeight="1">
      <c r="A274" s="45" t="str">
        <f ca="1">IFERROR(__xludf.DUMMYFUNCTION("""COMPUTED_VALUE"""),"Retroqrad eyakulyasiyanın təyini")</f>
        <v>Retroqrad eyakulyasiyanın təyini</v>
      </c>
      <c r="B274" s="46" t="s">
        <v>94</v>
      </c>
      <c r="C274" s="46" t="s">
        <v>41</v>
      </c>
      <c r="D274" s="46" t="s">
        <v>106</v>
      </c>
      <c r="E274" s="46" t="s">
        <v>107</v>
      </c>
      <c r="F274" s="47"/>
      <c r="G274" s="48"/>
    </row>
    <row r="275" spans="1:7" ht="20.100000000000001" customHeight="1">
      <c r="A275" s="49" t="str">
        <f ca="1">IFERROR(__xludf.DUMMYFUNCTION("""COMPUTED_VALUE"""),"Rinositoqramma (burun yaxmasının müayinəsi)")</f>
        <v>Rinositoqramma (burun yaxmasının müayinəsi)</v>
      </c>
      <c r="B275" s="50" t="s">
        <v>94</v>
      </c>
      <c r="C275" s="50" t="s">
        <v>95</v>
      </c>
      <c r="D275" s="50" t="s">
        <v>106</v>
      </c>
      <c r="E275" s="50" t="s">
        <v>107</v>
      </c>
      <c r="F275" s="51"/>
      <c r="G275" s="52"/>
    </row>
    <row r="276" spans="1:7" ht="20.100000000000001" customHeight="1">
      <c r="A276" s="45" t="str">
        <f ca="1">IFERROR(__xludf.DUMMYFUNCTION("""COMPUTED_VALUE"""),"Spermoqramma")</f>
        <v>Spermoqramma</v>
      </c>
      <c r="B276" s="46" t="s">
        <v>94</v>
      </c>
      <c r="C276" s="46" t="s">
        <v>68</v>
      </c>
      <c r="D276" s="46" t="s">
        <v>106</v>
      </c>
      <c r="E276" s="46" t="s">
        <v>108</v>
      </c>
      <c r="F276" s="47"/>
      <c r="G276" s="48"/>
    </row>
    <row r="277" spans="1:7" ht="20.100000000000001" customHeight="1">
      <c r="A277" s="49" t="str">
        <f ca="1">IFERROR(__xludf.DUMMYFUNCTION("""COMPUTED_VALUE"""),"Südün mikroskopiyası (sağ)")</f>
        <v>Südün mikroskopiyası (sağ)</v>
      </c>
      <c r="B277" s="50" t="s">
        <v>94</v>
      </c>
      <c r="C277" s="50" t="s">
        <v>68</v>
      </c>
      <c r="D277" s="50" t="s">
        <v>106</v>
      </c>
      <c r="E277" s="50" t="s">
        <v>108</v>
      </c>
      <c r="F277" s="51" t="s">
        <v>71</v>
      </c>
      <c r="G277" s="52" t="s">
        <v>71</v>
      </c>
    </row>
    <row r="278" spans="1:7" ht="20.100000000000001" customHeight="1">
      <c r="A278" s="45" t="str">
        <f ca="1">IFERROR(__xludf.DUMMYFUNCTION("""COMPUTED_VALUE"""),"Südün mikroskopiyası (sol)")</f>
        <v>Südün mikroskopiyası (sol)</v>
      </c>
      <c r="B278" s="46" t="s">
        <v>94</v>
      </c>
      <c r="C278" s="46" t="s">
        <v>68</v>
      </c>
      <c r="D278" s="46" t="s">
        <v>106</v>
      </c>
      <c r="E278" s="46" t="s">
        <v>108</v>
      </c>
      <c r="F278" s="47" t="s">
        <v>71</v>
      </c>
      <c r="G278" s="48" t="s">
        <v>71</v>
      </c>
    </row>
    <row r="279" spans="1:7" ht="20.100000000000001" customHeight="1">
      <c r="A279" s="49" t="str">
        <f ca="1">IFERROR(__xludf.DUMMYFUNCTION("""COMPUTED_VALUE"""),"Yaxmanın kliniki analizi (Kişi)")</f>
        <v>Yaxmanın kliniki analizi (Kişi)</v>
      </c>
      <c r="B279" s="50" t="s">
        <v>94</v>
      </c>
      <c r="C279" s="50" t="s">
        <v>109</v>
      </c>
      <c r="D279" s="50" t="s">
        <v>106</v>
      </c>
      <c r="E279" s="50" t="s">
        <v>108</v>
      </c>
      <c r="F279" s="51" t="s">
        <v>49</v>
      </c>
      <c r="G279" s="52" t="s">
        <v>49</v>
      </c>
    </row>
    <row r="280" spans="1:7" ht="15">
      <c r="A280" s="45" t="str">
        <f ca="1">IFERROR(__xludf.DUMMYFUNCTION("""COMPUTED_VALUE"""),"Yaxmanın kliniki analizi (Qadın)")</f>
        <v>Yaxmanın kliniki analizi (Qadın)</v>
      </c>
      <c r="B280" s="46" t="s">
        <v>94</v>
      </c>
      <c r="C280" s="46" t="s">
        <v>109</v>
      </c>
      <c r="D280" s="46" t="s">
        <v>106</v>
      </c>
      <c r="E280" s="46" t="s">
        <v>108</v>
      </c>
      <c r="F280" s="47" t="s">
        <v>49</v>
      </c>
      <c r="G280" s="48" t="s">
        <v>49</v>
      </c>
    </row>
    <row r="281" spans="1:7" ht="15">
      <c r="A281" s="49" t="str">
        <f ca="1">IFERROR(__xludf.DUMMYFUNCTION("""COMPUTED_VALUE"""),"Yaxmanın kliniki analizi (VİRGO)")</f>
        <v>Yaxmanın kliniki analizi (VİRGO)</v>
      </c>
      <c r="B281" s="50" t="s">
        <v>94</v>
      </c>
      <c r="C281" s="50" t="s">
        <v>109</v>
      </c>
      <c r="D281" s="50" t="s">
        <v>106</v>
      </c>
      <c r="E281" s="50" t="s">
        <v>108</v>
      </c>
      <c r="F281" s="51" t="s">
        <v>49</v>
      </c>
      <c r="G281" s="52" t="s">
        <v>49</v>
      </c>
    </row>
    <row r="282" spans="1:7" ht="15">
      <c r="A282" s="45" t="str">
        <f ca="1">IFERROR(__xludf.DUMMYFUNCTION("""COMPUTED_VALUE"""),"Yaxmanın mikroskopiyası (konyuktiva)")</f>
        <v>Yaxmanın mikroskopiyası (konyuktiva)</v>
      </c>
      <c r="B282" s="46" t="s">
        <v>94</v>
      </c>
      <c r="C282" s="46" t="s">
        <v>95</v>
      </c>
      <c r="D282" s="46" t="s">
        <v>106</v>
      </c>
      <c r="E282" s="46" t="s">
        <v>108</v>
      </c>
      <c r="F282" s="47" t="s">
        <v>49</v>
      </c>
      <c r="G282" s="48" t="s">
        <v>49</v>
      </c>
    </row>
    <row r="283" spans="1:7" ht="15">
      <c r="A283" s="61" t="str">
        <f ca="1">IFERROR(__xludf.DUMMYFUNCTION("""COMPUTED_VALUE"""),"Şuvarski sınağı")</f>
        <v>Şuvarski sınağı</v>
      </c>
      <c r="B283" s="62" t="s">
        <v>94</v>
      </c>
      <c r="C283" s="62" t="s">
        <v>95</v>
      </c>
      <c r="D283" s="62" t="s">
        <v>37</v>
      </c>
      <c r="E283" s="62" t="s">
        <v>103</v>
      </c>
      <c r="F283" s="63" t="s">
        <v>49</v>
      </c>
      <c r="G283" s="64" t="s">
        <v>49</v>
      </c>
    </row>
    <row r="284" spans="1:7" ht="15">
      <c r="A284" s="24"/>
      <c r="B284" s="25"/>
      <c r="C284" s="24"/>
      <c r="D284" s="24"/>
      <c r="E284" s="24"/>
      <c r="F284" s="34"/>
      <c r="G284" s="31"/>
    </row>
    <row r="285" spans="1:7" ht="15">
      <c r="A285" s="19"/>
      <c r="B285" s="20"/>
      <c r="C285" s="19"/>
      <c r="D285" s="19"/>
      <c r="E285" s="21"/>
      <c r="F285" s="36"/>
      <c r="G285" s="22"/>
    </row>
    <row r="286" spans="1:7" ht="15">
      <c r="A286" s="2"/>
      <c r="B286" s="12"/>
      <c r="C286" s="2"/>
      <c r="D286" s="2"/>
      <c r="E286" s="3"/>
      <c r="F286" s="37"/>
      <c r="G286" s="7"/>
    </row>
    <row r="287" spans="1:7" ht="15">
      <c r="A287" s="6"/>
      <c r="B287" s="16"/>
      <c r="C287" s="6"/>
      <c r="D287" s="6"/>
      <c r="E287" s="6"/>
      <c r="F287" s="38"/>
      <c r="G287" s="7"/>
    </row>
    <row r="288" spans="1:7" ht="15">
      <c r="A288" s="6"/>
      <c r="B288" s="16"/>
      <c r="C288" s="6"/>
      <c r="D288" s="6"/>
      <c r="E288" s="6"/>
      <c r="F288" s="38"/>
      <c r="G288" s="7"/>
    </row>
    <row r="289" spans="1:7" ht="15">
      <c r="A289" s="6"/>
      <c r="B289" s="16"/>
      <c r="C289" s="6"/>
      <c r="D289" s="6"/>
      <c r="E289" s="6"/>
      <c r="F289" s="38"/>
      <c r="G289" s="7"/>
    </row>
    <row r="290" spans="1:7" ht="15">
      <c r="A290" s="6"/>
      <c r="B290" s="16"/>
      <c r="C290" s="6"/>
      <c r="D290" s="6"/>
      <c r="E290" s="6"/>
      <c r="F290" s="38"/>
      <c r="G290" s="7"/>
    </row>
    <row r="291" spans="1:7" ht="15">
      <c r="A291" s="6"/>
      <c r="B291" s="16"/>
      <c r="C291" s="6"/>
      <c r="D291" s="6"/>
      <c r="E291" s="6"/>
      <c r="F291" s="38"/>
      <c r="G291" s="7"/>
    </row>
    <row r="292" spans="1:7" ht="15">
      <c r="A292" s="6"/>
      <c r="B292" s="16"/>
      <c r="C292" s="6"/>
      <c r="D292" s="6"/>
      <c r="E292" s="6"/>
      <c r="F292" s="38"/>
      <c r="G292" s="7"/>
    </row>
    <row r="293" spans="1:7" ht="15">
      <c r="A293" s="6"/>
      <c r="B293" s="16"/>
      <c r="C293" s="6"/>
      <c r="D293" s="6"/>
      <c r="E293" s="6"/>
      <c r="F293" s="38"/>
      <c r="G293" s="7"/>
    </row>
    <row r="294" spans="1:7" ht="15">
      <c r="A294" s="6"/>
      <c r="B294" s="16"/>
      <c r="C294" s="6"/>
      <c r="D294" s="6"/>
      <c r="E294" s="6"/>
      <c r="F294" s="38"/>
      <c r="G294" s="7"/>
    </row>
    <row r="295" spans="1:7" ht="15">
      <c r="A295" s="6"/>
      <c r="B295" s="16"/>
      <c r="C295" s="6"/>
      <c r="D295" s="6"/>
      <c r="E295" s="6"/>
      <c r="F295" s="38"/>
      <c r="G295" s="7"/>
    </row>
    <row r="296" spans="1:7" ht="15">
      <c r="A296" s="6"/>
      <c r="B296" s="16"/>
      <c r="C296" s="6"/>
      <c r="D296" s="6"/>
      <c r="E296" s="6"/>
      <c r="F296" s="38"/>
      <c r="G296" s="7"/>
    </row>
    <row r="297" spans="1:7" ht="15">
      <c r="A297" s="6"/>
      <c r="B297" s="16"/>
      <c r="C297" s="6"/>
      <c r="D297" s="6"/>
      <c r="E297" s="6"/>
      <c r="F297" s="38"/>
      <c r="G297" s="7"/>
    </row>
    <row r="298" spans="1:7" ht="15">
      <c r="A298" s="6"/>
      <c r="B298" s="16"/>
      <c r="C298" s="6"/>
      <c r="D298" s="6"/>
      <c r="E298" s="6"/>
      <c r="F298" s="38"/>
      <c r="G298" s="7"/>
    </row>
    <row r="299" spans="1:7" ht="15">
      <c r="A299" s="6"/>
      <c r="B299" s="16"/>
      <c r="C299" s="6"/>
      <c r="D299" s="6"/>
      <c r="E299" s="6"/>
      <c r="F299" s="38"/>
      <c r="G299" s="7"/>
    </row>
    <row r="300" spans="1:7" ht="15">
      <c r="A300" s="6"/>
      <c r="B300" s="16"/>
      <c r="C300" s="6"/>
      <c r="D300" s="6"/>
      <c r="E300" s="6"/>
      <c r="F300" s="38"/>
      <c r="G300" s="7"/>
    </row>
    <row r="301" spans="1:7" ht="15">
      <c r="A301" s="6"/>
      <c r="B301" s="16"/>
      <c r="C301" s="6"/>
      <c r="D301" s="6"/>
      <c r="E301" s="6"/>
      <c r="F301" s="38"/>
      <c r="G301" s="7"/>
    </row>
    <row r="302" spans="1:7" ht="15">
      <c r="C302" s="5"/>
      <c r="G302" s="9"/>
    </row>
    <row r="303" spans="1:7" ht="15">
      <c r="C303" s="5"/>
      <c r="G303" s="9"/>
    </row>
    <row r="304" spans="1:7" ht="15">
      <c r="C304" s="5"/>
      <c r="G304" s="9"/>
    </row>
    <row r="305" spans="3:7" ht="15">
      <c r="C305" s="5"/>
      <c r="G305" s="9"/>
    </row>
    <row r="306" spans="3:7" ht="15">
      <c r="C306" s="5"/>
      <c r="G306" s="9"/>
    </row>
    <row r="307" spans="3:7" ht="15">
      <c r="C307" s="5"/>
      <c r="G307" s="9"/>
    </row>
    <row r="308" spans="3:7" ht="15">
      <c r="C308" s="5"/>
      <c r="G308" s="9"/>
    </row>
    <row r="309" spans="3:7" ht="15">
      <c r="C309" s="5"/>
      <c r="G309" s="9"/>
    </row>
    <row r="310" spans="3:7" ht="15">
      <c r="C310" s="5"/>
      <c r="G310" s="9"/>
    </row>
    <row r="311" spans="3:7" ht="15">
      <c r="C311" s="5"/>
      <c r="G311" s="9"/>
    </row>
    <row r="312" spans="3:7" ht="15">
      <c r="C312" s="5"/>
      <c r="G312" s="9"/>
    </row>
    <row r="313" spans="3:7" ht="15">
      <c r="C313" s="5"/>
      <c r="G313" s="9"/>
    </row>
    <row r="314" spans="3:7" ht="15">
      <c r="C314" s="5"/>
      <c r="G314" s="9"/>
    </row>
    <row r="315" spans="3:7" ht="15">
      <c r="C315" s="5"/>
      <c r="G315" s="9"/>
    </row>
    <row r="316" spans="3:7" ht="15">
      <c r="C316" s="5"/>
      <c r="G316" s="9"/>
    </row>
    <row r="317" spans="3:7" ht="15">
      <c r="C317" s="5"/>
      <c r="G317" s="9"/>
    </row>
    <row r="318" spans="3:7" ht="15">
      <c r="C318" s="5"/>
      <c r="G318" s="9"/>
    </row>
    <row r="319" spans="3:7" ht="15">
      <c r="C319" s="5"/>
      <c r="G319" s="9"/>
    </row>
    <row r="320" spans="3:7" ht="15">
      <c r="C320" s="5"/>
      <c r="G320" s="9"/>
    </row>
    <row r="321" spans="3:7" ht="15">
      <c r="C321" s="5"/>
      <c r="G321" s="9"/>
    </row>
    <row r="322" spans="3:7" ht="15">
      <c r="C322" s="5"/>
      <c r="G322" s="9"/>
    </row>
    <row r="323" spans="3:7" ht="15">
      <c r="C323" s="5"/>
      <c r="G323" s="9"/>
    </row>
    <row r="324" spans="3:7" ht="15">
      <c r="C324" s="5"/>
      <c r="G324" s="9"/>
    </row>
    <row r="325" spans="3:7" ht="15">
      <c r="C325" s="5"/>
      <c r="G325" s="9"/>
    </row>
    <row r="326" spans="3:7" ht="15">
      <c r="C326" s="5"/>
      <c r="G326" s="9"/>
    </row>
    <row r="327" spans="3:7" ht="15">
      <c r="C327" s="5"/>
      <c r="G327" s="9"/>
    </row>
    <row r="328" spans="3:7" ht="15">
      <c r="C328" s="5"/>
      <c r="G328" s="9"/>
    </row>
    <row r="329" spans="3:7" ht="15">
      <c r="C329" s="5"/>
      <c r="G329" s="9"/>
    </row>
    <row r="330" spans="3:7" ht="15">
      <c r="C330" s="5"/>
      <c r="G330" s="9"/>
    </row>
    <row r="331" spans="3:7" ht="15">
      <c r="C331" s="5"/>
      <c r="G331" s="9"/>
    </row>
    <row r="332" spans="3:7" ht="15">
      <c r="C332" s="5"/>
      <c r="G332" s="9"/>
    </row>
    <row r="333" spans="3:7" ht="15">
      <c r="C333" s="5"/>
      <c r="G333" s="9"/>
    </row>
    <row r="334" spans="3:7" ht="15">
      <c r="C334" s="5"/>
      <c r="G334" s="9"/>
    </row>
    <row r="335" spans="3:7" ht="15">
      <c r="C335" s="5"/>
      <c r="G335" s="9"/>
    </row>
    <row r="336" spans="3:7" ht="15">
      <c r="C336" s="5"/>
      <c r="G336" s="9"/>
    </row>
    <row r="337" spans="3:7" ht="15">
      <c r="C337" s="5"/>
      <c r="G337" s="9"/>
    </row>
    <row r="338" spans="3:7" ht="15">
      <c r="C338" s="5"/>
      <c r="G338" s="9"/>
    </row>
    <row r="339" spans="3:7" ht="15">
      <c r="C339" s="5"/>
      <c r="G339" s="9"/>
    </row>
    <row r="340" spans="3:7" ht="15">
      <c r="C340" s="5"/>
      <c r="G340" s="9"/>
    </row>
    <row r="341" spans="3:7" ht="15">
      <c r="C341" s="5"/>
      <c r="G341" s="9"/>
    </row>
    <row r="342" spans="3:7" ht="15">
      <c r="C342" s="5"/>
      <c r="G342" s="9"/>
    </row>
    <row r="343" spans="3:7" ht="15">
      <c r="C343" s="5"/>
      <c r="G343" s="9"/>
    </row>
    <row r="344" spans="3:7" ht="15">
      <c r="C344" s="5"/>
      <c r="G344" s="9"/>
    </row>
    <row r="345" spans="3:7" ht="15">
      <c r="C345" s="5"/>
      <c r="G345" s="9"/>
    </row>
    <row r="346" spans="3:7" ht="15">
      <c r="C346" s="5"/>
      <c r="G346" s="9"/>
    </row>
    <row r="347" spans="3:7" ht="15">
      <c r="C347" s="5"/>
      <c r="G347" s="9"/>
    </row>
    <row r="348" spans="3:7" ht="15">
      <c r="C348" s="5"/>
      <c r="G348" s="9"/>
    </row>
    <row r="349" spans="3:7" ht="15">
      <c r="C349" s="5"/>
      <c r="G349" s="9"/>
    </row>
    <row r="350" spans="3:7" ht="15">
      <c r="C350" s="5"/>
      <c r="G350" s="9"/>
    </row>
    <row r="351" spans="3:7" ht="15">
      <c r="C351" s="5"/>
      <c r="G351" s="9"/>
    </row>
    <row r="352" spans="3:7" ht="15">
      <c r="C352" s="5"/>
      <c r="G352" s="9"/>
    </row>
    <row r="353" spans="3:7" ht="15">
      <c r="C353" s="5"/>
      <c r="G353" s="9"/>
    </row>
    <row r="354" spans="3:7" ht="15">
      <c r="C354" s="5"/>
      <c r="G354" s="9"/>
    </row>
    <row r="355" spans="3:7" ht="15">
      <c r="C355" s="5"/>
      <c r="G355" s="9"/>
    </row>
    <row r="356" spans="3:7" ht="15">
      <c r="C356" s="5"/>
      <c r="G356" s="9"/>
    </row>
    <row r="357" spans="3:7" ht="15">
      <c r="C357" s="5"/>
      <c r="G357" s="9"/>
    </row>
    <row r="358" spans="3:7" ht="15">
      <c r="C358" s="5"/>
      <c r="G358" s="9"/>
    </row>
    <row r="359" spans="3:7" ht="15">
      <c r="C359" s="5"/>
      <c r="G359" s="9"/>
    </row>
    <row r="360" spans="3:7" ht="15">
      <c r="C360" s="5"/>
      <c r="G360" s="9"/>
    </row>
    <row r="361" spans="3:7" ht="15">
      <c r="C361" s="5"/>
      <c r="G361" s="9"/>
    </row>
    <row r="362" spans="3:7" ht="15">
      <c r="C362" s="5"/>
      <c r="G362" s="9"/>
    </row>
    <row r="363" spans="3:7" ht="15">
      <c r="C363" s="5"/>
      <c r="G363" s="9"/>
    </row>
    <row r="364" spans="3:7" ht="15">
      <c r="C364" s="5"/>
      <c r="G364" s="9"/>
    </row>
    <row r="365" spans="3:7" ht="15">
      <c r="C365" s="5"/>
      <c r="G365" s="9"/>
    </row>
    <row r="366" spans="3:7" ht="15">
      <c r="C366" s="5"/>
      <c r="G366" s="9"/>
    </row>
    <row r="367" spans="3:7" ht="15">
      <c r="C367" s="5"/>
      <c r="G367" s="9"/>
    </row>
    <row r="368" spans="3:7" ht="15">
      <c r="C368" s="5"/>
      <c r="G368" s="9"/>
    </row>
    <row r="369" spans="3:7" ht="15">
      <c r="C369" s="5"/>
      <c r="G369" s="9"/>
    </row>
    <row r="370" spans="3:7" ht="15">
      <c r="C370" s="5"/>
      <c r="G370" s="9"/>
    </row>
    <row r="371" spans="3:7" ht="15">
      <c r="C371" s="5"/>
      <c r="G371" s="9"/>
    </row>
    <row r="372" spans="3:7" ht="15">
      <c r="C372" s="5"/>
      <c r="G372" s="9"/>
    </row>
    <row r="373" spans="3:7" ht="15">
      <c r="C373" s="5"/>
      <c r="G373" s="9"/>
    </row>
    <row r="374" spans="3:7" ht="15">
      <c r="C374" s="5"/>
      <c r="G374" s="9"/>
    </row>
    <row r="375" spans="3:7" ht="15">
      <c r="C375" s="5"/>
      <c r="G375" s="9"/>
    </row>
    <row r="376" spans="3:7" ht="15">
      <c r="C376" s="5"/>
      <c r="G376" s="9"/>
    </row>
    <row r="377" spans="3:7" ht="15">
      <c r="C377" s="5"/>
      <c r="G377" s="9"/>
    </row>
    <row r="378" spans="3:7" ht="15">
      <c r="C378" s="5"/>
      <c r="G378" s="9"/>
    </row>
    <row r="379" spans="3:7" ht="15">
      <c r="C379" s="5"/>
      <c r="G379" s="9"/>
    </row>
    <row r="380" spans="3:7" ht="15">
      <c r="C380" s="5"/>
      <c r="G380" s="9"/>
    </row>
    <row r="381" spans="3:7" ht="15">
      <c r="C381" s="5"/>
      <c r="G381" s="9"/>
    </row>
    <row r="382" spans="3:7" ht="15">
      <c r="C382" s="5"/>
      <c r="G382" s="9"/>
    </row>
    <row r="383" spans="3:7" ht="15">
      <c r="C383" s="5"/>
      <c r="G383" s="9"/>
    </row>
    <row r="384" spans="3:7" ht="15">
      <c r="C384" s="5"/>
      <c r="G384" s="9"/>
    </row>
    <row r="385" spans="3:7" ht="15">
      <c r="C385" s="5"/>
      <c r="G385" s="9"/>
    </row>
    <row r="386" spans="3:7" ht="15">
      <c r="C386" s="5"/>
      <c r="G386" s="9"/>
    </row>
    <row r="387" spans="3:7" ht="15">
      <c r="C387" s="5"/>
      <c r="G387" s="9"/>
    </row>
    <row r="388" spans="3:7" ht="15">
      <c r="C388" s="5"/>
      <c r="G388" s="9"/>
    </row>
    <row r="389" spans="3:7" ht="15">
      <c r="C389" s="5"/>
      <c r="G389" s="9"/>
    </row>
    <row r="390" spans="3:7" ht="15">
      <c r="C390" s="5"/>
      <c r="G390" s="9"/>
    </row>
    <row r="391" spans="3:7" ht="15">
      <c r="C391" s="5"/>
      <c r="G391" s="9"/>
    </row>
    <row r="392" spans="3:7" ht="15">
      <c r="C392" s="5"/>
      <c r="G392" s="9"/>
    </row>
    <row r="393" spans="3:7" ht="15">
      <c r="C393" s="5"/>
      <c r="G393" s="9"/>
    </row>
    <row r="394" spans="3:7" ht="15">
      <c r="C394" s="5"/>
      <c r="G394" s="9"/>
    </row>
    <row r="395" spans="3:7" ht="15">
      <c r="C395" s="5"/>
      <c r="G395" s="9"/>
    </row>
    <row r="396" spans="3:7" ht="15">
      <c r="C396" s="5"/>
      <c r="G396" s="9"/>
    </row>
    <row r="397" spans="3:7" ht="15">
      <c r="C397" s="5"/>
      <c r="G397" s="9"/>
    </row>
    <row r="398" spans="3:7" ht="15">
      <c r="C398" s="5"/>
      <c r="G398" s="9"/>
    </row>
    <row r="399" spans="3:7" ht="15">
      <c r="C399" s="5"/>
      <c r="G399" s="9"/>
    </row>
    <row r="400" spans="3:7" ht="15">
      <c r="C400" s="5"/>
      <c r="G400" s="9"/>
    </row>
    <row r="401" spans="3:7" ht="15">
      <c r="C401" s="5"/>
      <c r="G401" s="9"/>
    </row>
    <row r="402" spans="3:7" ht="15">
      <c r="C402" s="5"/>
      <c r="G402" s="9"/>
    </row>
    <row r="403" spans="3:7" ht="15">
      <c r="C403" s="5"/>
      <c r="G403" s="9"/>
    </row>
    <row r="404" spans="3:7" ht="15">
      <c r="C404" s="5"/>
      <c r="G404" s="9"/>
    </row>
    <row r="405" spans="3:7" ht="15">
      <c r="C405" s="5"/>
      <c r="G405" s="9"/>
    </row>
    <row r="406" spans="3:7" ht="15">
      <c r="C406" s="5"/>
      <c r="G406" s="9"/>
    </row>
    <row r="407" spans="3:7" ht="15">
      <c r="C407" s="5"/>
      <c r="G407" s="9"/>
    </row>
    <row r="408" spans="3:7" ht="15">
      <c r="C408" s="5"/>
      <c r="G408" s="9"/>
    </row>
    <row r="409" spans="3:7" ht="15">
      <c r="C409" s="5"/>
      <c r="G409" s="9"/>
    </row>
    <row r="410" spans="3:7" ht="15">
      <c r="C410" s="5"/>
      <c r="G410" s="9"/>
    </row>
    <row r="411" spans="3:7" ht="15">
      <c r="C411" s="5"/>
      <c r="G411" s="9"/>
    </row>
    <row r="412" spans="3:7" ht="15">
      <c r="C412" s="5"/>
      <c r="G412" s="9"/>
    </row>
    <row r="413" spans="3:7" ht="15">
      <c r="C413" s="5"/>
      <c r="G413" s="9"/>
    </row>
    <row r="414" spans="3:7" ht="15">
      <c r="C414" s="5"/>
      <c r="G414" s="9"/>
    </row>
    <row r="415" spans="3:7" ht="15">
      <c r="C415" s="5"/>
      <c r="G415" s="9"/>
    </row>
    <row r="416" spans="3:7" ht="15">
      <c r="C416" s="5"/>
      <c r="G416" s="9"/>
    </row>
    <row r="417" spans="3:7" ht="15">
      <c r="C417" s="5"/>
      <c r="G417" s="9"/>
    </row>
    <row r="418" spans="3:7" ht="15">
      <c r="C418" s="5"/>
      <c r="G418" s="9"/>
    </row>
    <row r="419" spans="3:7" ht="15">
      <c r="C419" s="5"/>
      <c r="G419" s="9"/>
    </row>
    <row r="420" spans="3:7" ht="15">
      <c r="C420" s="5"/>
      <c r="G420" s="9"/>
    </row>
    <row r="421" spans="3:7" ht="15">
      <c r="C421" s="5"/>
      <c r="G421" s="9"/>
    </row>
    <row r="422" spans="3:7" ht="15">
      <c r="C422" s="5"/>
      <c r="G422" s="9"/>
    </row>
    <row r="423" spans="3:7" ht="15">
      <c r="C423" s="5"/>
      <c r="G423" s="9"/>
    </row>
    <row r="424" spans="3:7" ht="15">
      <c r="C424" s="5"/>
      <c r="G424" s="9"/>
    </row>
    <row r="425" spans="3:7" ht="15">
      <c r="C425" s="5"/>
      <c r="G425" s="9"/>
    </row>
    <row r="426" spans="3:7" ht="15">
      <c r="C426" s="5"/>
      <c r="G426" s="9"/>
    </row>
    <row r="427" spans="3:7" ht="15">
      <c r="C427" s="5"/>
      <c r="G427" s="9"/>
    </row>
    <row r="428" spans="3:7" ht="15">
      <c r="C428" s="5"/>
      <c r="G428" s="9"/>
    </row>
    <row r="429" spans="3:7" ht="15">
      <c r="C429" s="5"/>
      <c r="G429" s="9"/>
    </row>
    <row r="430" spans="3:7" ht="15">
      <c r="C430" s="5"/>
      <c r="G430" s="9"/>
    </row>
    <row r="431" spans="3:7" ht="15">
      <c r="C431" s="5"/>
      <c r="G431" s="9"/>
    </row>
    <row r="432" spans="3:7" ht="15">
      <c r="C432" s="5"/>
      <c r="G432" s="9"/>
    </row>
    <row r="433" spans="3:7" ht="15">
      <c r="C433" s="5"/>
      <c r="G433" s="9"/>
    </row>
    <row r="434" spans="3:7" ht="15">
      <c r="C434" s="5"/>
      <c r="G434" s="9"/>
    </row>
    <row r="435" spans="3:7" ht="15">
      <c r="C435" s="5"/>
      <c r="G435" s="9"/>
    </row>
    <row r="436" spans="3:7" ht="15">
      <c r="C436" s="5"/>
      <c r="G436" s="9"/>
    </row>
    <row r="437" spans="3:7" ht="15">
      <c r="C437" s="5"/>
      <c r="G437" s="9"/>
    </row>
    <row r="438" spans="3:7" ht="15">
      <c r="C438" s="5"/>
      <c r="G438" s="9"/>
    </row>
    <row r="439" spans="3:7" ht="15">
      <c r="C439" s="5"/>
      <c r="G439" s="9"/>
    </row>
    <row r="440" spans="3:7" ht="15">
      <c r="C440" s="5"/>
      <c r="G440" s="9"/>
    </row>
    <row r="441" spans="3:7" ht="15">
      <c r="C441" s="5"/>
      <c r="G441" s="9"/>
    </row>
    <row r="442" spans="3:7" ht="15">
      <c r="C442" s="5"/>
      <c r="G442" s="9"/>
    </row>
    <row r="443" spans="3:7" ht="15">
      <c r="C443" s="5"/>
      <c r="G443" s="9"/>
    </row>
    <row r="444" spans="3:7" ht="15">
      <c r="C444" s="5"/>
      <c r="G444" s="9"/>
    </row>
    <row r="445" spans="3:7" ht="15">
      <c r="C445" s="5"/>
      <c r="G445" s="9"/>
    </row>
    <row r="446" spans="3:7" ht="15">
      <c r="C446" s="5"/>
      <c r="G446" s="9"/>
    </row>
    <row r="447" spans="3:7" ht="15">
      <c r="C447" s="5"/>
      <c r="G447" s="9"/>
    </row>
    <row r="448" spans="3:7" ht="15">
      <c r="C448" s="5"/>
      <c r="G448" s="9"/>
    </row>
    <row r="449" spans="3:7" ht="15">
      <c r="C449" s="5"/>
      <c r="G449" s="9"/>
    </row>
    <row r="450" spans="3:7" ht="15">
      <c r="C450" s="5"/>
      <c r="G450" s="9"/>
    </row>
    <row r="451" spans="3:7" ht="15">
      <c r="C451" s="5"/>
      <c r="G451" s="9"/>
    </row>
    <row r="452" spans="3:7" ht="15">
      <c r="C452" s="5"/>
      <c r="G452" s="9"/>
    </row>
    <row r="453" spans="3:7" ht="15">
      <c r="C453" s="5"/>
      <c r="G453" s="9"/>
    </row>
    <row r="454" spans="3:7" ht="15">
      <c r="C454" s="5"/>
      <c r="G454" s="9"/>
    </row>
    <row r="455" spans="3:7" ht="15">
      <c r="C455" s="5"/>
      <c r="G455" s="9"/>
    </row>
    <row r="456" spans="3:7" ht="15">
      <c r="C456" s="5"/>
      <c r="G456" s="9"/>
    </row>
    <row r="457" spans="3:7" ht="15">
      <c r="C457" s="5"/>
      <c r="G457" s="9"/>
    </row>
    <row r="458" spans="3:7" ht="15">
      <c r="C458" s="5"/>
      <c r="G458" s="9"/>
    </row>
    <row r="459" spans="3:7" ht="15">
      <c r="C459" s="5"/>
      <c r="G459" s="9"/>
    </row>
    <row r="460" spans="3:7" ht="15">
      <c r="C460" s="5"/>
      <c r="G460" s="9"/>
    </row>
    <row r="461" spans="3:7" ht="15">
      <c r="C461" s="5"/>
      <c r="G461" s="9"/>
    </row>
    <row r="462" spans="3:7" ht="15">
      <c r="C462" s="5"/>
      <c r="G462" s="9"/>
    </row>
    <row r="463" spans="3:7" ht="15">
      <c r="C463" s="5"/>
      <c r="G463" s="9"/>
    </row>
    <row r="464" spans="3:7" ht="15">
      <c r="C464" s="5"/>
      <c r="G464" s="9"/>
    </row>
    <row r="465" spans="3:7" ht="15">
      <c r="C465" s="5"/>
      <c r="G465" s="9"/>
    </row>
    <row r="466" spans="3:7" ht="15">
      <c r="C466" s="5"/>
      <c r="G466" s="9"/>
    </row>
    <row r="467" spans="3:7" ht="15">
      <c r="C467" s="5"/>
      <c r="G467" s="9"/>
    </row>
    <row r="468" spans="3:7" ht="15">
      <c r="C468" s="5"/>
      <c r="G468" s="9"/>
    </row>
    <row r="469" spans="3:7" ht="15">
      <c r="C469" s="5"/>
      <c r="G469" s="9"/>
    </row>
    <row r="470" spans="3:7" ht="15">
      <c r="C470" s="5"/>
      <c r="G470" s="9"/>
    </row>
    <row r="471" spans="3:7" ht="15">
      <c r="C471" s="5"/>
      <c r="G471" s="9"/>
    </row>
    <row r="472" spans="3:7" ht="15">
      <c r="C472" s="5"/>
      <c r="G472" s="9"/>
    </row>
    <row r="473" spans="3:7" ht="15">
      <c r="C473" s="5"/>
      <c r="G473" s="9"/>
    </row>
    <row r="474" spans="3:7" ht="15">
      <c r="C474" s="5"/>
      <c r="G474" s="9"/>
    </row>
    <row r="475" spans="3:7" ht="15">
      <c r="C475" s="5"/>
      <c r="G475" s="9"/>
    </row>
    <row r="476" spans="3:7" ht="15">
      <c r="C476" s="5"/>
      <c r="G476" s="9"/>
    </row>
    <row r="477" spans="3:7" ht="15">
      <c r="C477" s="5"/>
      <c r="G477" s="9"/>
    </row>
    <row r="478" spans="3:7" ht="15">
      <c r="C478" s="5"/>
      <c r="G478" s="9"/>
    </row>
    <row r="479" spans="3:7" ht="15">
      <c r="C479" s="5"/>
      <c r="G479" s="9"/>
    </row>
    <row r="480" spans="3:7" ht="15">
      <c r="C480" s="5"/>
      <c r="G480" s="9"/>
    </row>
    <row r="481" spans="3:7" ht="15">
      <c r="C481" s="5"/>
      <c r="G481" s="9"/>
    </row>
    <row r="482" spans="3:7" ht="15">
      <c r="C482" s="5"/>
      <c r="G482" s="9"/>
    </row>
    <row r="483" spans="3:7" ht="15">
      <c r="C483" s="5"/>
      <c r="G483" s="9"/>
    </row>
    <row r="484" spans="3:7" ht="15">
      <c r="C484" s="5"/>
      <c r="G484" s="9"/>
    </row>
    <row r="485" spans="3:7" ht="15">
      <c r="C485" s="5"/>
      <c r="G485" s="9"/>
    </row>
    <row r="486" spans="3:7" ht="15">
      <c r="C486" s="5"/>
      <c r="G486" s="9"/>
    </row>
    <row r="487" spans="3:7" ht="15">
      <c r="C487" s="5"/>
      <c r="G487" s="9"/>
    </row>
    <row r="488" spans="3:7" ht="15">
      <c r="C488" s="5"/>
      <c r="G488" s="9"/>
    </row>
    <row r="489" spans="3:7" ht="15">
      <c r="C489" s="5"/>
      <c r="G489" s="9"/>
    </row>
    <row r="490" spans="3:7" ht="15">
      <c r="C490" s="5"/>
      <c r="G490" s="9"/>
    </row>
    <row r="491" spans="3:7" ht="15">
      <c r="C491" s="5"/>
      <c r="G491" s="9"/>
    </row>
    <row r="492" spans="3:7" ht="15">
      <c r="C492" s="5"/>
      <c r="G492" s="9"/>
    </row>
    <row r="493" spans="3:7" ht="15">
      <c r="C493" s="5"/>
      <c r="G493" s="9"/>
    </row>
    <row r="494" spans="3:7" ht="15">
      <c r="C494" s="5"/>
      <c r="G494" s="9"/>
    </row>
    <row r="495" spans="3:7" ht="15">
      <c r="C495" s="5"/>
      <c r="G495" s="9"/>
    </row>
    <row r="496" spans="3:7" ht="15">
      <c r="C496" s="5"/>
      <c r="G496" s="9"/>
    </row>
    <row r="497" spans="3:7" ht="15">
      <c r="C497" s="5"/>
      <c r="G497" s="9"/>
    </row>
    <row r="498" spans="3:7" ht="15">
      <c r="C498" s="5"/>
      <c r="G498" s="9"/>
    </row>
    <row r="499" spans="3:7" ht="15">
      <c r="C499" s="5"/>
      <c r="G499" s="9"/>
    </row>
    <row r="500" spans="3:7" ht="15">
      <c r="C500" s="5"/>
      <c r="G500" s="9"/>
    </row>
    <row r="501" spans="3:7" ht="15">
      <c r="C501" s="5"/>
      <c r="G501" s="9"/>
    </row>
    <row r="502" spans="3:7" ht="15">
      <c r="C502" s="5"/>
      <c r="G502" s="9"/>
    </row>
    <row r="503" spans="3:7" ht="15">
      <c r="C503" s="5"/>
      <c r="G503" s="9"/>
    </row>
    <row r="504" spans="3:7" ht="15">
      <c r="C504" s="5"/>
      <c r="G504" s="9"/>
    </row>
    <row r="505" spans="3:7" ht="15">
      <c r="C505" s="5"/>
      <c r="G505" s="9"/>
    </row>
    <row r="506" spans="3:7" ht="15">
      <c r="C506" s="5"/>
      <c r="G506" s="9"/>
    </row>
    <row r="507" spans="3:7" ht="15">
      <c r="C507" s="5"/>
      <c r="G507" s="9"/>
    </row>
    <row r="508" spans="3:7" ht="15">
      <c r="C508" s="5"/>
      <c r="G508" s="9"/>
    </row>
    <row r="509" spans="3:7" ht="15">
      <c r="C509" s="5"/>
      <c r="G509" s="9"/>
    </row>
    <row r="510" spans="3:7" ht="15">
      <c r="C510" s="5"/>
      <c r="G510" s="9"/>
    </row>
    <row r="511" spans="3:7" ht="15">
      <c r="C511" s="5"/>
      <c r="G511" s="9"/>
    </row>
    <row r="512" spans="3:7" ht="15">
      <c r="C512" s="5"/>
      <c r="G512" s="9"/>
    </row>
    <row r="513" spans="3:7" ht="15">
      <c r="C513" s="5"/>
      <c r="G513" s="9"/>
    </row>
    <row r="514" spans="3:7" ht="15">
      <c r="C514" s="5"/>
      <c r="G514" s="9"/>
    </row>
    <row r="515" spans="3:7" ht="15">
      <c r="C515" s="5"/>
      <c r="G515" s="9"/>
    </row>
    <row r="516" spans="3:7" ht="15">
      <c r="C516" s="5"/>
      <c r="G516" s="9"/>
    </row>
    <row r="517" spans="3:7" ht="15">
      <c r="C517" s="5"/>
      <c r="G517" s="9"/>
    </row>
    <row r="518" spans="3:7" ht="15">
      <c r="C518" s="5"/>
      <c r="G518" s="9"/>
    </row>
    <row r="519" spans="3:7" ht="15">
      <c r="C519" s="5"/>
      <c r="G519" s="9"/>
    </row>
    <row r="520" spans="3:7" ht="15">
      <c r="C520" s="5"/>
      <c r="G520" s="9"/>
    </row>
    <row r="521" spans="3:7" ht="15">
      <c r="C521" s="5"/>
      <c r="G521" s="9"/>
    </row>
    <row r="522" spans="3:7" ht="15">
      <c r="C522" s="5"/>
      <c r="G522" s="9"/>
    </row>
    <row r="523" spans="3:7" ht="15">
      <c r="C523" s="5"/>
      <c r="G523" s="9"/>
    </row>
    <row r="524" spans="3:7" ht="15">
      <c r="C524" s="5"/>
      <c r="G524" s="9"/>
    </row>
    <row r="525" spans="3:7" ht="15">
      <c r="C525" s="5"/>
      <c r="G525" s="9"/>
    </row>
    <row r="526" spans="3:7" ht="15">
      <c r="C526" s="5"/>
      <c r="G526" s="9"/>
    </row>
    <row r="527" spans="3:7" ht="15">
      <c r="C527" s="5"/>
      <c r="G527" s="9"/>
    </row>
    <row r="528" spans="3:7" ht="15">
      <c r="C528" s="5"/>
      <c r="G528" s="9"/>
    </row>
    <row r="529" spans="3:7" ht="15">
      <c r="C529" s="5"/>
      <c r="G529" s="9"/>
    </row>
    <row r="530" spans="3:7" ht="15">
      <c r="C530" s="5"/>
      <c r="G530" s="9"/>
    </row>
    <row r="531" spans="3:7" ht="15">
      <c r="C531" s="5"/>
      <c r="G531" s="9"/>
    </row>
    <row r="532" spans="3:7" ht="15">
      <c r="C532" s="5"/>
      <c r="G532" s="9"/>
    </row>
    <row r="533" spans="3:7" ht="15">
      <c r="C533" s="5"/>
      <c r="G533" s="9"/>
    </row>
    <row r="534" spans="3:7" ht="15">
      <c r="C534" s="5"/>
      <c r="G534" s="9"/>
    </row>
    <row r="535" spans="3:7" ht="15">
      <c r="C535" s="5"/>
      <c r="G535" s="9"/>
    </row>
    <row r="536" spans="3:7" ht="15">
      <c r="C536" s="5"/>
      <c r="G536" s="9"/>
    </row>
    <row r="537" spans="3:7" ht="15">
      <c r="C537" s="5"/>
      <c r="G537" s="9"/>
    </row>
    <row r="538" spans="3:7" ht="15">
      <c r="C538" s="5"/>
      <c r="G538" s="9"/>
    </row>
    <row r="539" spans="3:7" ht="15">
      <c r="C539" s="5"/>
      <c r="G539" s="9"/>
    </row>
    <row r="540" spans="3:7" ht="15">
      <c r="C540" s="5"/>
      <c r="G540" s="9"/>
    </row>
    <row r="541" spans="3:7" ht="15">
      <c r="C541" s="5"/>
      <c r="G541" s="9"/>
    </row>
    <row r="542" spans="3:7" ht="15">
      <c r="C542" s="5"/>
      <c r="G542" s="9"/>
    </row>
    <row r="543" spans="3:7" ht="15">
      <c r="C543" s="5"/>
      <c r="G543" s="9"/>
    </row>
    <row r="544" spans="3:7" ht="15">
      <c r="C544" s="5"/>
      <c r="G544" s="9"/>
    </row>
    <row r="545" spans="3:7" ht="15">
      <c r="C545" s="5"/>
      <c r="G545" s="9"/>
    </row>
    <row r="546" spans="3:7" ht="15">
      <c r="C546" s="5"/>
      <c r="G546" s="9"/>
    </row>
    <row r="547" spans="3:7" ht="15">
      <c r="C547" s="5"/>
      <c r="G547" s="9"/>
    </row>
    <row r="548" spans="3:7" ht="15">
      <c r="C548" s="5"/>
      <c r="G548" s="9"/>
    </row>
    <row r="549" spans="3:7" ht="15">
      <c r="C549" s="5"/>
      <c r="G549" s="9"/>
    </row>
    <row r="550" spans="3:7" ht="15">
      <c r="C550" s="5"/>
      <c r="G550" s="9"/>
    </row>
    <row r="551" spans="3:7" ht="15">
      <c r="C551" s="5"/>
      <c r="G551" s="9"/>
    </row>
    <row r="552" spans="3:7" ht="15">
      <c r="C552" s="5"/>
      <c r="G552" s="9"/>
    </row>
    <row r="553" spans="3:7" ht="15">
      <c r="C553" s="5"/>
      <c r="G553" s="9"/>
    </row>
    <row r="554" spans="3:7" ht="15">
      <c r="C554" s="5"/>
      <c r="G554" s="9"/>
    </row>
    <row r="555" spans="3:7" ht="15">
      <c r="C555" s="5"/>
      <c r="G555" s="9"/>
    </row>
    <row r="556" spans="3:7" ht="15">
      <c r="C556" s="5"/>
      <c r="G556" s="9"/>
    </row>
    <row r="557" spans="3:7" ht="15">
      <c r="C557" s="5"/>
      <c r="G557" s="9"/>
    </row>
    <row r="558" spans="3:7" ht="15">
      <c r="C558" s="5"/>
      <c r="G558" s="9"/>
    </row>
    <row r="559" spans="3:7" ht="15">
      <c r="C559" s="5"/>
      <c r="G559" s="9"/>
    </row>
    <row r="560" spans="3:7" ht="15">
      <c r="C560" s="5"/>
      <c r="G560" s="9"/>
    </row>
    <row r="561" spans="3:7" ht="15">
      <c r="C561" s="5"/>
      <c r="G561" s="9"/>
    </row>
    <row r="562" spans="3:7" ht="15">
      <c r="C562" s="5"/>
      <c r="G562" s="9"/>
    </row>
    <row r="563" spans="3:7" ht="15">
      <c r="C563" s="5"/>
      <c r="G563" s="9"/>
    </row>
    <row r="564" spans="3:7" ht="15">
      <c r="C564" s="5"/>
      <c r="G564" s="9"/>
    </row>
    <row r="565" spans="3:7" ht="15">
      <c r="C565" s="5"/>
      <c r="G565" s="9"/>
    </row>
    <row r="566" spans="3:7" ht="15">
      <c r="C566" s="5"/>
      <c r="G566" s="9"/>
    </row>
    <row r="567" spans="3:7" ht="15">
      <c r="C567" s="5"/>
      <c r="G567" s="9"/>
    </row>
    <row r="568" spans="3:7" ht="15">
      <c r="C568" s="5"/>
      <c r="G568" s="9"/>
    </row>
    <row r="569" spans="3:7" ht="15">
      <c r="C569" s="5"/>
      <c r="G569" s="9"/>
    </row>
    <row r="570" spans="3:7" ht="15">
      <c r="C570" s="5"/>
      <c r="G570" s="9"/>
    </row>
    <row r="571" spans="3:7" ht="15">
      <c r="C571" s="5"/>
      <c r="G571" s="9"/>
    </row>
    <row r="572" spans="3:7" ht="15">
      <c r="C572" s="5"/>
      <c r="G572" s="9"/>
    </row>
    <row r="573" spans="3:7" ht="15">
      <c r="C573" s="5"/>
      <c r="G573" s="9"/>
    </row>
    <row r="574" spans="3:7" ht="15">
      <c r="C574" s="5"/>
      <c r="G574" s="9"/>
    </row>
    <row r="575" spans="3:7" ht="15">
      <c r="C575" s="5"/>
      <c r="G575" s="9"/>
    </row>
    <row r="576" spans="3:7" ht="15">
      <c r="C576" s="5"/>
      <c r="G576" s="9"/>
    </row>
    <row r="577" spans="3:7" ht="15">
      <c r="C577" s="5"/>
      <c r="G577" s="9"/>
    </row>
    <row r="578" spans="3:7" ht="15">
      <c r="C578" s="5"/>
      <c r="G578" s="9"/>
    </row>
    <row r="579" spans="3:7" ht="15">
      <c r="C579" s="5"/>
      <c r="G579" s="9"/>
    </row>
    <row r="580" spans="3:7" ht="15">
      <c r="C580" s="5"/>
      <c r="G580" s="9"/>
    </row>
    <row r="581" spans="3:7" ht="15">
      <c r="C581" s="5"/>
      <c r="G581" s="9"/>
    </row>
    <row r="582" spans="3:7" ht="15">
      <c r="C582" s="5"/>
      <c r="G582" s="9"/>
    </row>
    <row r="583" spans="3:7" ht="15">
      <c r="C583" s="5"/>
      <c r="G583" s="9"/>
    </row>
    <row r="584" spans="3:7" ht="15">
      <c r="C584" s="5"/>
      <c r="G584" s="9"/>
    </row>
    <row r="585" spans="3:7" ht="15">
      <c r="C585" s="5"/>
      <c r="G585" s="9"/>
    </row>
    <row r="586" spans="3:7" ht="15">
      <c r="C586" s="5"/>
      <c r="G586" s="9"/>
    </row>
    <row r="587" spans="3:7" ht="15">
      <c r="C587" s="5"/>
      <c r="G587" s="9"/>
    </row>
    <row r="588" spans="3:7" ht="15">
      <c r="C588" s="5"/>
      <c r="G588" s="9"/>
    </row>
    <row r="589" spans="3:7" ht="15">
      <c r="C589" s="5"/>
      <c r="G589" s="9"/>
    </row>
    <row r="590" spans="3:7" ht="15">
      <c r="C590" s="5"/>
      <c r="G590" s="9"/>
    </row>
    <row r="591" spans="3:7" ht="15">
      <c r="C591" s="5"/>
      <c r="G591" s="9"/>
    </row>
    <row r="592" spans="3:7" ht="15">
      <c r="C592" s="5"/>
      <c r="G592" s="9"/>
    </row>
    <row r="593" spans="3:7" ht="15">
      <c r="C593" s="5"/>
      <c r="G593" s="9"/>
    </row>
    <row r="594" spans="3:7" ht="15">
      <c r="C594" s="5"/>
      <c r="G594" s="9"/>
    </row>
    <row r="595" spans="3:7" ht="15">
      <c r="C595" s="5"/>
      <c r="G595" s="9"/>
    </row>
    <row r="596" spans="3:7" ht="15">
      <c r="C596" s="5"/>
      <c r="G596" s="9"/>
    </row>
    <row r="597" spans="3:7" ht="15">
      <c r="C597" s="5"/>
      <c r="G597" s="9"/>
    </row>
    <row r="598" spans="3:7" ht="15">
      <c r="C598" s="5"/>
      <c r="G598" s="9"/>
    </row>
    <row r="599" spans="3:7" ht="15">
      <c r="C599" s="5"/>
      <c r="G599" s="9"/>
    </row>
    <row r="600" spans="3:7" ht="15">
      <c r="C600" s="5"/>
      <c r="G600" s="9"/>
    </row>
    <row r="601" spans="3:7" ht="15">
      <c r="C601" s="5"/>
      <c r="G601" s="9"/>
    </row>
    <row r="602" spans="3:7" ht="15">
      <c r="C602" s="5"/>
      <c r="G602" s="9"/>
    </row>
    <row r="603" spans="3:7" ht="15">
      <c r="C603" s="5"/>
      <c r="G603" s="9"/>
    </row>
    <row r="604" spans="3:7" ht="15">
      <c r="C604" s="5"/>
      <c r="G604" s="9"/>
    </row>
    <row r="605" spans="3:7" ht="15">
      <c r="C605" s="5"/>
      <c r="G605" s="9"/>
    </row>
    <row r="606" spans="3:7" ht="15">
      <c r="C606" s="5"/>
      <c r="G606" s="9"/>
    </row>
    <row r="607" spans="3:7" ht="15">
      <c r="C607" s="5"/>
      <c r="G607" s="9"/>
    </row>
    <row r="608" spans="3:7" ht="15">
      <c r="C608" s="5"/>
      <c r="G608" s="9"/>
    </row>
    <row r="609" spans="3:7" ht="15">
      <c r="C609" s="5"/>
      <c r="G609" s="9"/>
    </row>
    <row r="610" spans="3:7" ht="15">
      <c r="C610" s="5"/>
      <c r="G610" s="9"/>
    </row>
    <row r="611" spans="3:7" ht="15">
      <c r="C611" s="5"/>
      <c r="G611" s="9"/>
    </row>
    <row r="612" spans="3:7" ht="15">
      <c r="C612" s="5"/>
      <c r="G612" s="9"/>
    </row>
    <row r="613" spans="3:7" ht="15">
      <c r="C613" s="5"/>
      <c r="G613" s="9"/>
    </row>
    <row r="614" spans="3:7" ht="15">
      <c r="C614" s="5"/>
      <c r="G614" s="9"/>
    </row>
    <row r="615" spans="3:7" ht="15">
      <c r="C615" s="5"/>
      <c r="G615" s="9"/>
    </row>
    <row r="616" spans="3:7" ht="15">
      <c r="C616" s="5"/>
      <c r="G616" s="9"/>
    </row>
    <row r="617" spans="3:7" ht="15">
      <c r="C617" s="5"/>
      <c r="G617" s="9"/>
    </row>
    <row r="618" spans="3:7" ht="15">
      <c r="C618" s="5"/>
      <c r="G618" s="9"/>
    </row>
    <row r="619" spans="3:7" ht="15">
      <c r="C619" s="5"/>
      <c r="G619" s="9"/>
    </row>
    <row r="620" spans="3:7" ht="15">
      <c r="C620" s="5"/>
      <c r="G620" s="9"/>
    </row>
    <row r="621" spans="3:7" ht="15">
      <c r="C621" s="5"/>
      <c r="G621" s="9"/>
    </row>
    <row r="622" spans="3:7" ht="15">
      <c r="C622" s="5"/>
      <c r="G622" s="9"/>
    </row>
    <row r="623" spans="3:7" ht="15">
      <c r="C623" s="5"/>
      <c r="G623" s="9"/>
    </row>
    <row r="624" spans="3:7" ht="15">
      <c r="C624" s="5"/>
      <c r="G624" s="9"/>
    </row>
    <row r="625" spans="3:7" ht="15">
      <c r="C625" s="5"/>
      <c r="G625" s="9"/>
    </row>
    <row r="626" spans="3:7" ht="15">
      <c r="C626" s="5"/>
      <c r="G626" s="9"/>
    </row>
    <row r="627" spans="3:7" ht="15">
      <c r="C627" s="5"/>
      <c r="G627" s="9"/>
    </row>
    <row r="628" spans="3:7" ht="15">
      <c r="C628" s="5"/>
      <c r="G628" s="9"/>
    </row>
    <row r="629" spans="3:7" ht="15">
      <c r="C629" s="5"/>
      <c r="G629" s="9"/>
    </row>
    <row r="630" spans="3:7" ht="15">
      <c r="C630" s="5"/>
      <c r="G630" s="9"/>
    </row>
    <row r="631" spans="3:7" ht="15">
      <c r="C631" s="5"/>
      <c r="G631" s="9"/>
    </row>
    <row r="632" spans="3:7" ht="15">
      <c r="C632" s="5"/>
      <c r="G632" s="9"/>
    </row>
    <row r="633" spans="3:7" ht="15">
      <c r="C633" s="5"/>
      <c r="G633" s="9"/>
    </row>
    <row r="634" spans="3:7" ht="15">
      <c r="C634" s="5"/>
      <c r="G634" s="9"/>
    </row>
    <row r="635" spans="3:7" ht="15">
      <c r="C635" s="5"/>
      <c r="G635" s="9"/>
    </row>
    <row r="636" spans="3:7" ht="15">
      <c r="C636" s="5"/>
      <c r="G636" s="9"/>
    </row>
    <row r="637" spans="3:7" ht="15">
      <c r="C637" s="5"/>
      <c r="G637" s="9"/>
    </row>
    <row r="638" spans="3:7" ht="15">
      <c r="C638" s="5"/>
      <c r="G638" s="9"/>
    </row>
    <row r="639" spans="3:7" ht="15">
      <c r="C639" s="5"/>
      <c r="G639" s="9"/>
    </row>
    <row r="640" spans="3:7" ht="15">
      <c r="C640" s="5"/>
      <c r="G640" s="9"/>
    </row>
    <row r="641" spans="3:7" ht="15">
      <c r="C641" s="5"/>
      <c r="G641" s="9"/>
    </row>
    <row r="642" spans="3:7" ht="15">
      <c r="C642" s="5"/>
      <c r="G642" s="9"/>
    </row>
    <row r="643" spans="3:7" ht="15">
      <c r="C643" s="5"/>
      <c r="G643" s="9"/>
    </row>
    <row r="644" spans="3:7" ht="15">
      <c r="C644" s="5"/>
      <c r="G644" s="9"/>
    </row>
    <row r="645" spans="3:7" ht="15">
      <c r="C645" s="5"/>
      <c r="G645" s="9"/>
    </row>
    <row r="646" spans="3:7" ht="15">
      <c r="C646" s="5"/>
      <c r="G646" s="9"/>
    </row>
    <row r="647" spans="3:7" ht="15">
      <c r="C647" s="5"/>
      <c r="G647" s="9"/>
    </row>
    <row r="648" spans="3:7" ht="15">
      <c r="C648" s="5"/>
      <c r="G648" s="9"/>
    </row>
    <row r="649" spans="3:7" ht="15">
      <c r="C649" s="5"/>
      <c r="G649" s="9"/>
    </row>
    <row r="650" spans="3:7" ht="15">
      <c r="C650" s="5"/>
      <c r="G650" s="9"/>
    </row>
    <row r="651" spans="3:7" ht="15">
      <c r="C651" s="5"/>
      <c r="G651" s="9"/>
    </row>
    <row r="652" spans="3:7" ht="15">
      <c r="C652" s="5"/>
      <c r="G652" s="9"/>
    </row>
    <row r="653" spans="3:7" ht="15">
      <c r="C653" s="5"/>
      <c r="G653" s="9"/>
    </row>
    <row r="654" spans="3:7" ht="15">
      <c r="C654" s="5"/>
      <c r="G654" s="9"/>
    </row>
    <row r="655" spans="3:7" ht="15">
      <c r="C655" s="5"/>
      <c r="G655" s="9"/>
    </row>
    <row r="656" spans="3:7" ht="15">
      <c r="C656" s="5"/>
      <c r="G656" s="9"/>
    </row>
    <row r="657" spans="3:7" ht="15">
      <c r="C657" s="5"/>
      <c r="G657" s="9"/>
    </row>
    <row r="658" spans="3:7" ht="15">
      <c r="C658" s="5"/>
      <c r="G658" s="9"/>
    </row>
    <row r="659" spans="3:7" ht="15">
      <c r="C659" s="5"/>
      <c r="G659" s="9"/>
    </row>
    <row r="660" spans="3:7" ht="15">
      <c r="C660" s="5"/>
      <c r="G660" s="9"/>
    </row>
    <row r="661" spans="3:7" ht="15">
      <c r="C661" s="5"/>
      <c r="G661" s="9"/>
    </row>
    <row r="662" spans="3:7" ht="15">
      <c r="C662" s="5"/>
      <c r="G662" s="9"/>
    </row>
    <row r="663" spans="3:7" ht="15">
      <c r="C663" s="5"/>
      <c r="G663" s="9"/>
    </row>
    <row r="664" spans="3:7" ht="15">
      <c r="C664" s="5"/>
      <c r="G664" s="9"/>
    </row>
    <row r="665" spans="3:7" ht="15">
      <c r="C665" s="5"/>
      <c r="G665" s="9"/>
    </row>
    <row r="666" spans="3:7" ht="15">
      <c r="C666" s="5"/>
      <c r="G666" s="9"/>
    </row>
    <row r="667" spans="3:7" ht="15">
      <c r="C667" s="5"/>
      <c r="G667" s="9"/>
    </row>
    <row r="668" spans="3:7" ht="15">
      <c r="C668" s="5"/>
      <c r="G668" s="9"/>
    </row>
    <row r="669" spans="3:7" ht="15">
      <c r="C669" s="5"/>
      <c r="G669" s="9"/>
    </row>
    <row r="670" spans="3:7" ht="15">
      <c r="C670" s="5"/>
      <c r="G670" s="9"/>
    </row>
    <row r="671" spans="3:7" ht="15">
      <c r="C671" s="5"/>
      <c r="G671" s="9"/>
    </row>
    <row r="672" spans="3:7" ht="15">
      <c r="C672" s="5"/>
      <c r="G672" s="9"/>
    </row>
    <row r="673" spans="3:7" ht="15">
      <c r="C673" s="5"/>
      <c r="G673" s="9"/>
    </row>
    <row r="674" spans="3:7" ht="15">
      <c r="C674" s="5"/>
      <c r="G674" s="9"/>
    </row>
    <row r="675" spans="3:7" ht="15">
      <c r="C675" s="5"/>
      <c r="G675" s="9"/>
    </row>
    <row r="676" spans="3:7" ht="15">
      <c r="C676" s="5"/>
      <c r="G676" s="9"/>
    </row>
    <row r="677" spans="3:7" ht="15">
      <c r="C677" s="5"/>
      <c r="G677" s="9"/>
    </row>
    <row r="678" spans="3:7" ht="15">
      <c r="C678" s="5"/>
      <c r="G678" s="9"/>
    </row>
    <row r="679" spans="3:7" ht="15">
      <c r="C679" s="5"/>
      <c r="G679" s="9"/>
    </row>
    <row r="680" spans="3:7" ht="15">
      <c r="C680" s="5"/>
      <c r="G680" s="9"/>
    </row>
    <row r="681" spans="3:7" ht="15">
      <c r="C681" s="5"/>
      <c r="G681" s="9"/>
    </row>
    <row r="682" spans="3:7" ht="15">
      <c r="C682" s="5"/>
      <c r="G682" s="9"/>
    </row>
    <row r="683" spans="3:7" ht="15">
      <c r="C683" s="5"/>
      <c r="G683" s="9"/>
    </row>
    <row r="684" spans="3:7" ht="15">
      <c r="C684" s="5"/>
      <c r="G684" s="9"/>
    </row>
    <row r="685" spans="3:7" ht="15">
      <c r="C685" s="5"/>
      <c r="G685" s="9"/>
    </row>
    <row r="686" spans="3:7" ht="15">
      <c r="C686" s="5"/>
      <c r="G686" s="9"/>
    </row>
    <row r="687" spans="3:7" ht="15">
      <c r="C687" s="5"/>
      <c r="G687" s="9"/>
    </row>
    <row r="688" spans="3:7" ht="15">
      <c r="C688" s="5"/>
      <c r="G688" s="9"/>
    </row>
    <row r="689" spans="3:7" ht="15">
      <c r="C689" s="5"/>
      <c r="G689" s="9"/>
    </row>
    <row r="690" spans="3:7" ht="15">
      <c r="C690" s="5"/>
      <c r="G690" s="9"/>
    </row>
    <row r="691" spans="3:7" ht="15"/>
    <row r="692" spans="3:7" ht="15"/>
    <row r="693" spans="3:7" ht="15"/>
    <row r="694" spans="3:7" ht="15"/>
    <row r="695" spans="3:7" ht="15"/>
    <row r="696" spans="3:7" ht="15"/>
    <row r="697" spans="3:7" ht="15"/>
    <row r="698" spans="3:7" ht="15"/>
    <row r="699" spans="3:7" ht="15"/>
    <row r="700" spans="3:7" ht="15"/>
    <row r="701" spans="3:7" ht="15"/>
    <row r="702" spans="3:7" ht="15"/>
    <row r="703" spans="3:7" ht="15"/>
    <row r="704" spans="3:7" ht="15"/>
    <row r="705" ht="15"/>
    <row r="706" ht="15"/>
    <row r="707" ht="15"/>
    <row r="708" ht="15"/>
    <row r="709" ht="15"/>
    <row r="710" ht="15"/>
    <row r="711" ht="15"/>
    <row r="712" ht="15"/>
    <row r="713" ht="15"/>
    <row r="714" ht="15"/>
    <row r="715" ht="15"/>
    <row r="716" ht="15"/>
    <row r="717" ht="15"/>
    <row r="718" ht="15"/>
    <row r="719" ht="15"/>
    <row r="720" ht="15"/>
    <row r="721" ht="15"/>
    <row r="722" ht="15"/>
    <row r="723" ht="15"/>
    <row r="724" ht="15"/>
    <row r="725" ht="15"/>
    <row r="726" ht="15"/>
    <row r="727" ht="15"/>
    <row r="728" ht="15"/>
    <row r="729" ht="15"/>
    <row r="730" ht="15"/>
    <row r="731" ht="15"/>
    <row r="732" ht="15"/>
    <row r="733" ht="15"/>
    <row r="734" ht="15"/>
    <row r="735" ht="15"/>
    <row r="736" ht="15"/>
    <row r="737" ht="15"/>
    <row r="738" ht="15"/>
    <row r="739" ht="15"/>
    <row r="740" ht="15"/>
    <row r="741" ht="15"/>
    <row r="742" ht="15"/>
    <row r="743" ht="15"/>
    <row r="744" ht="15"/>
    <row r="745" ht="15"/>
    <row r="746" ht="15"/>
    <row r="747" ht="15"/>
    <row r="748" ht="15"/>
    <row r="749" ht="15"/>
    <row r="750" ht="15"/>
    <row r="751" ht="15"/>
    <row r="752" ht="15"/>
    <row r="753" ht="15"/>
    <row r="754" ht="15"/>
    <row r="755" ht="15"/>
    <row r="756" ht="15"/>
    <row r="757" ht="15"/>
    <row r="758" ht="15"/>
    <row r="759" ht="15"/>
    <row r="760" ht="15"/>
    <row r="761" ht="15"/>
    <row r="762" ht="15"/>
    <row r="763" ht="15"/>
    <row r="764" ht="15"/>
    <row r="765" ht="15"/>
    <row r="766" ht="15"/>
    <row r="767" ht="15"/>
    <row r="768" ht="15"/>
    <row r="769" ht="15"/>
    <row r="770" ht="15"/>
    <row r="771" ht="15"/>
    <row r="772" ht="15"/>
    <row r="773" ht="15"/>
    <row r="774" ht="15"/>
    <row r="775" ht="15"/>
    <row r="776" ht="15"/>
    <row r="777" ht="15"/>
    <row r="778" ht="15"/>
    <row r="779" ht="15"/>
    <row r="780" ht="15"/>
    <row r="781" ht="15"/>
    <row r="782" ht="15"/>
    <row r="783" ht="15"/>
    <row r="784" ht="15"/>
    <row r="785" ht="15"/>
    <row r="786" ht="15"/>
    <row r="787" ht="15"/>
    <row r="788" ht="15"/>
    <row r="789" ht="15"/>
    <row r="790" ht="15"/>
    <row r="791" ht="15"/>
    <row r="792" ht="15"/>
    <row r="793" ht="15"/>
    <row r="794" ht="15"/>
    <row r="795" ht="15"/>
    <row r="796" ht="15"/>
    <row r="797" ht="15"/>
    <row r="798" ht="15"/>
    <row r="799" ht="15"/>
    <row r="800" ht="15"/>
    <row r="801" ht="15"/>
    <row r="802" ht="15"/>
    <row r="803" ht="15"/>
    <row r="804" ht="15"/>
    <row r="805" ht="15"/>
    <row r="806" ht="15"/>
    <row r="807" ht="15"/>
    <row r="808" ht="15"/>
    <row r="809" ht="15"/>
    <row r="810" ht="15"/>
    <row r="811" ht="15"/>
    <row r="812" ht="15"/>
    <row r="813" ht="15"/>
    <row r="814" ht="15"/>
    <row r="815" ht="15"/>
    <row r="816" ht="15"/>
    <row r="817" ht="15"/>
    <row r="818" ht="15"/>
    <row r="819" ht="15"/>
    <row r="820" ht="15"/>
    <row r="821" ht="15"/>
    <row r="822" ht="15"/>
    <row r="823" ht="15"/>
    <row r="824" ht="15"/>
    <row r="825" ht="15"/>
    <row r="826" ht="15"/>
    <row r="827" ht="15"/>
    <row r="828" ht="15"/>
    <row r="829" ht="15"/>
    <row r="830" ht="15"/>
    <row r="831" ht="15"/>
    <row r="832" ht="15"/>
    <row r="833" ht="15"/>
    <row r="834" ht="15"/>
    <row r="835" ht="15"/>
    <row r="836" ht="15"/>
    <row r="837" ht="15"/>
    <row r="838" ht="15"/>
    <row r="839" ht="15"/>
    <row r="840" ht="15"/>
    <row r="841" ht="15"/>
    <row r="842" ht="15"/>
    <row r="843" ht="15"/>
    <row r="844" ht="15"/>
    <row r="845" ht="15"/>
    <row r="846" ht="15"/>
    <row r="847" ht="15"/>
    <row r="848" ht="15"/>
    <row r="849" ht="15"/>
    <row r="850" ht="15"/>
    <row r="851" ht="15"/>
    <row r="852" ht="15"/>
    <row r="853" ht="15"/>
    <row r="854" ht="15"/>
    <row r="855" ht="15"/>
    <row r="856" ht="15"/>
    <row r="857" ht="15"/>
    <row r="858" ht="15"/>
    <row r="859" ht="15"/>
    <row r="860" ht="15"/>
    <row r="861" ht="15"/>
    <row r="862" ht="15"/>
    <row r="863" ht="15"/>
    <row r="864" ht="15"/>
    <row r="865" ht="15"/>
    <row r="866" ht="15"/>
    <row r="867" ht="15"/>
    <row r="868" ht="15"/>
    <row r="869" ht="15"/>
    <row r="870" ht="15"/>
    <row r="871" ht="15"/>
    <row r="872" ht="15"/>
    <row r="873" ht="15"/>
    <row r="874" ht="15"/>
    <row r="875" ht="15"/>
    <row r="876" ht="15"/>
    <row r="877" ht="15"/>
    <row r="878" ht="15"/>
    <row r="879" ht="15"/>
    <row r="880" ht="15"/>
    <row r="881" ht="15"/>
    <row r="882" ht="15"/>
    <row r="883" ht="15"/>
    <row r="884" ht="15"/>
    <row r="885" ht="15"/>
    <row r="886" ht="15"/>
    <row r="887" ht="15"/>
    <row r="888" ht="15"/>
    <row r="889" ht="15"/>
    <row r="890" ht="15"/>
    <row r="891" ht="15"/>
    <row r="892" ht="15"/>
    <row r="893" ht="15"/>
    <row r="894" ht="15"/>
    <row r="895" ht="15"/>
    <row r="896" ht="15"/>
    <row r="897" ht="15"/>
    <row r="898" ht="15"/>
    <row r="899" ht="15"/>
    <row r="900" ht="15"/>
    <row r="901" ht="15"/>
    <row r="902" ht="15"/>
    <row r="903" ht="15"/>
    <row r="904" ht="15"/>
    <row r="905" ht="15"/>
    <row r="906" ht="15"/>
    <row r="907" ht="15"/>
    <row r="908" ht="15"/>
    <row r="909" ht="15"/>
    <row r="910" ht="15"/>
    <row r="911" ht="15"/>
    <row r="912" ht="15"/>
    <row r="913" ht="15"/>
    <row r="914" ht="15"/>
    <row r="915" ht="15"/>
    <row r="916" ht="15"/>
    <row r="917" ht="15"/>
    <row r="918" ht="15"/>
    <row r="919" ht="15"/>
    <row r="920" ht="15"/>
    <row r="921" ht="15"/>
    <row r="922" ht="15"/>
    <row r="923" ht="15"/>
    <row r="924" ht="15"/>
    <row r="925" ht="15"/>
    <row r="926" ht="15"/>
    <row r="927" ht="15"/>
    <row r="928" ht="15"/>
    <row r="929" ht="15"/>
    <row r="930" ht="15"/>
    <row r="931" ht="15"/>
    <row r="932" ht="15"/>
    <row r="933" ht="15"/>
    <row r="934" ht="15"/>
    <row r="935" ht="15"/>
    <row r="936" ht="15"/>
    <row r="937" ht="15"/>
    <row r="938" ht="15"/>
    <row r="939" ht="15"/>
    <row r="940" ht="15"/>
    <row r="941" ht="15"/>
    <row r="942" ht="15"/>
    <row r="943" ht="15"/>
    <row r="944" ht="15"/>
    <row r="945" ht="15"/>
    <row r="946" ht="15"/>
    <row r="947" ht="15"/>
    <row r="948" ht="15"/>
    <row r="949" ht="15"/>
    <row r="950" ht="15"/>
    <row r="951" ht="15"/>
    <row r="952" ht="15"/>
    <row r="953" ht="15"/>
    <row r="954" ht="15"/>
    <row r="955" ht="15"/>
    <row r="956" ht="15"/>
    <row r="957" ht="15"/>
    <row r="958" ht="15"/>
    <row r="959" ht="15"/>
    <row r="960" ht="15"/>
    <row r="961" ht="15"/>
    <row r="962" ht="15"/>
    <row r="963" ht="15"/>
    <row r="964" ht="15"/>
    <row r="965" ht="15"/>
    <row r="966" ht="15"/>
    <row r="967" ht="15"/>
    <row r="968" ht="15"/>
    <row r="969" ht="15"/>
    <row r="970" ht="15"/>
    <row r="971" ht="15"/>
    <row r="972" ht="15"/>
    <row r="973" ht="15"/>
    <row r="974" ht="15"/>
    <row r="975" ht="15"/>
    <row r="976" ht="15"/>
    <row r="977" ht="15"/>
    <row r="978" ht="15"/>
    <row r="979" ht="15"/>
    <row r="980" ht="15"/>
    <row r="981" ht="15"/>
    <row r="982" ht="15"/>
    <row r="983" ht="15"/>
    <row r="984" ht="15"/>
    <row r="985" ht="15"/>
    <row r="986" ht="15"/>
    <row r="987" ht="15"/>
    <row r="988" ht="15"/>
    <row r="989" ht="15"/>
    <row r="990" ht="15"/>
    <row r="991" ht="15"/>
    <row r="992" ht="15"/>
    <row r="993" ht="15"/>
    <row r="994" ht="15"/>
    <row r="995" ht="15"/>
    <row r="996" ht="15"/>
    <row r="997" ht="15"/>
    <row r="998" ht="15"/>
    <row r="999" ht="15"/>
    <row r="1000" ht="15"/>
    <row r="1001" ht="15"/>
    <row r="1002" ht="15"/>
    <row r="1003" ht="15"/>
    <row r="1004" ht="15"/>
    <row r="1005" ht="15"/>
    <row r="1006" ht="15"/>
    <row r="1007" ht="15"/>
    <row r="1008" ht="15"/>
    <row r="1009" ht="15"/>
    <row r="1010" ht="15"/>
    <row r="1011" ht="15"/>
    <row r="1012" ht="15"/>
    <row r="1013" ht="15"/>
    <row r="1014" ht="15"/>
    <row r="1015" ht="15"/>
    <row r="1016" ht="15"/>
    <row r="1017" ht="15"/>
    <row r="1018" ht="15"/>
    <row r="1019" ht="15"/>
    <row r="1020" ht="15"/>
    <row r="1021" ht="15"/>
    <row r="1022" ht="15"/>
    <row r="1023" ht="15"/>
    <row r="1024" ht="15"/>
    <row r="1025" ht="15"/>
    <row r="1026" ht="15"/>
    <row r="1027" ht="15"/>
    <row r="1028" ht="15"/>
    <row r="1029" ht="15"/>
    <row r="1030" ht="15"/>
    <row r="1031" ht="15"/>
    <row r="1032" ht="15"/>
    <row r="1033" ht="15"/>
    <row r="1034" ht="15"/>
    <row r="1035" ht="15"/>
    <row r="1036" ht="15"/>
    <row r="1037" ht="15"/>
    <row r="1038" ht="15"/>
    <row r="1039" ht="15"/>
    <row r="1040" ht="15"/>
    <row r="1041" ht="15"/>
    <row r="1042" ht="15"/>
    <row r="1043" ht="15"/>
    <row r="1044" ht="15"/>
    <row r="1045" ht="15"/>
    <row r="1046" ht="15"/>
    <row r="1047" ht="15"/>
    <row r="1048" ht="15"/>
    <row r="1049" ht="15"/>
    <row r="1050" ht="15"/>
    <row r="1051" ht="15"/>
    <row r="1052" ht="15"/>
    <row r="1053" ht="15"/>
    <row r="1054" ht="15"/>
    <row r="1055" ht="15"/>
    <row r="1056" ht="15"/>
    <row r="1057" ht="15"/>
    <row r="1058" ht="15"/>
    <row r="1059" ht="15"/>
    <row r="1060" ht="15"/>
    <row r="1061" ht="15"/>
    <row r="1062" ht="15"/>
    <row r="1063" ht="15"/>
    <row r="1064" ht="15"/>
    <row r="1065" ht="15"/>
    <row r="1066" ht="15"/>
    <row r="1067" ht="15"/>
    <row r="1068" ht="15"/>
    <row r="1069" ht="15"/>
    <row r="1070" ht="15"/>
    <row r="1071" ht="15"/>
    <row r="1072" ht="15"/>
    <row r="1073" ht="15"/>
  </sheetData>
  <mergeCells count="3">
    <mergeCell ref="A5:G5"/>
    <mergeCell ref="A1:A4"/>
    <mergeCell ref="B1:E4"/>
  </mergeCells>
  <phoneticPr fontId="17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Zeynab Aliyeva</dc:creator>
  <cp:lastModifiedBy>LEGION</cp:lastModifiedBy>
  <dcterms:created xsi:type="dcterms:W3CDTF">2015-06-05T18:19:34Z</dcterms:created>
  <dcterms:modified xsi:type="dcterms:W3CDTF">2025-10-31T08:56:29Z</dcterms:modified>
</cp:coreProperties>
</file>